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74"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 r:id="rId14"/>
  </externalReferences>
  <definedNames>
    <definedName name="_xlnm._FilterDatabase" localSheetId="3" hidden="1">'3.2 паспорт Техсостояние ЛЭП'!$A$24:$WVQ$24</definedName>
    <definedName name="_xlnm._FilterDatabase" localSheetId="5" hidden="1">'3.4. Паспорт надежность'!$A$25:$AB$86</definedName>
    <definedName name="Вид_работ" localSheetId="9">#REF!</definedName>
    <definedName name="Вид_работ" localSheetId="11">#REF!</definedName>
    <definedName name="Вид_работ">#REF!</definedName>
    <definedName name="Вид_работ_2" localSheetId="9">#REF!</definedName>
    <definedName name="Вид_работ_2" localSheetId="11">#REF!</definedName>
    <definedName name="Вид_работ_2">#REF!</definedName>
    <definedName name="Виды_затрат" localSheetId="9">#REF!</definedName>
    <definedName name="Виды_затрат" localSheetId="11">#REF!</definedName>
    <definedName name="Виды_затрат">#REF!</definedName>
    <definedName name="Виды_работ" localSheetId="9">#REF!</definedName>
    <definedName name="Виды_работ" localSheetId="11">#REF!</definedName>
    <definedName name="Виды_работ">#REF!</definedName>
    <definedName name="Графики" localSheetId="9">#REF!</definedName>
    <definedName name="Графики" localSheetId="11">#REF!</definedName>
    <definedName name="Графики">#REF!</definedName>
    <definedName name="Группа_инвестпроектов" localSheetId="9">#REF!</definedName>
    <definedName name="Группа_инвестпроектов" localSheetId="11">#REF!</definedName>
    <definedName name="Группа_инвестпроектов">#REF!</definedName>
    <definedName name="деньги" localSheetId="9">#REF!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 localSheetId="11">#REF!</definedName>
    <definedName name="источник">#REF!</definedName>
    <definedName name="Категории_мероприятий" localSheetId="9">#REF!</definedName>
    <definedName name="Категории_мероприятий" localSheetId="11">#REF!</definedName>
    <definedName name="Категории_мероприятий">#REF!</definedName>
    <definedName name="Методика_расчета" localSheetId="9">#REF!</definedName>
    <definedName name="Методика_расчета" localSheetId="11">#REF!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ПС'!$A$1:$T$47</definedName>
    <definedName name="_xlnm.Print_Area" localSheetId="3">'3.2 паспорт Техсостояние ЛЭП'!$A$1:$AA$132</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7">'5. анализ эконом эфф'!$A$1:$AF$94</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закупке'!$A$1:$AV$33</definedName>
    <definedName name="_xlnm.Print_Area" localSheetId="11">'8. Общие сведения'!$A$1:$B$118</definedName>
    <definedName name="Определен_источник" localSheetId="9">#REF!</definedName>
    <definedName name="Определен_источник" localSheetId="11">#REF!</definedName>
    <definedName name="Определен_источник">#REF!</definedName>
    <definedName name="Снижение" localSheetId="9">#REF!</definedName>
    <definedName name="Снижение" localSheetId="11">#REF!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 localSheetId="11">#REF!</definedName>
    <definedName name="Стадия_реализации">#REF!</definedName>
    <definedName name="Тип_проекта" localSheetId="9">#REF!</definedName>
    <definedName name="Тип_проекта" localSheetId="11">#REF!</definedName>
    <definedName name="Тип_проекта">#REF!</definedName>
  </definedNames>
  <calcPr calcId="162913"/>
</workbook>
</file>

<file path=xl/calcChain.xml><?xml version="1.0" encoding="utf-8"?>
<calcChain xmlns="http://schemas.openxmlformats.org/spreadsheetml/2006/main">
  <c r="F64" i="27" l="1"/>
  <c r="F63" i="27"/>
  <c r="F62" i="27"/>
  <c r="F61" i="27"/>
  <c r="F60" i="27"/>
  <c r="F59" i="27"/>
  <c r="F58" i="27"/>
  <c r="F57" i="27"/>
  <c r="F56" i="27"/>
  <c r="F55" i="27"/>
  <c r="F54" i="27"/>
  <c r="F53" i="27"/>
  <c r="F52" i="27"/>
  <c r="F51" i="27"/>
  <c r="F50" i="27"/>
  <c r="F49" i="27"/>
  <c r="F48" i="27"/>
  <c r="F47" i="27"/>
  <c r="F46" i="27"/>
  <c r="F45" i="27"/>
  <c r="F44" i="27"/>
  <c r="F43" i="27"/>
  <c r="F42" i="27"/>
  <c r="F41" i="27"/>
  <c r="F40" i="27"/>
  <c r="F39" i="27"/>
  <c r="F38" i="27"/>
  <c r="F37" i="27"/>
  <c r="F36" i="27"/>
  <c r="F35" i="27"/>
  <c r="F34" i="27"/>
  <c r="F33" i="27"/>
  <c r="F32" i="27"/>
  <c r="F31" i="27"/>
  <c r="F26" i="27"/>
  <c r="F27" i="27"/>
  <c r="F28" i="27"/>
  <c r="F29" i="27"/>
  <c r="F30" i="27" l="1"/>
  <c r="F25" i="27"/>
  <c r="M30" i="27"/>
  <c r="M24" i="27"/>
  <c r="B109" i="26" l="1"/>
  <c r="B95" i="26"/>
  <c r="B79" i="26"/>
  <c r="B69" i="26"/>
  <c r="B93" i="26" s="1"/>
  <c r="B49" i="26"/>
  <c r="B32" i="26"/>
  <c r="B29" i="26"/>
  <c r="B27" i="26"/>
  <c r="B68" i="26" s="1"/>
  <c r="B22" i="26"/>
  <c r="L24" i="27"/>
  <c r="N24" i="27"/>
  <c r="L30" i="27"/>
  <c r="C30" i="27"/>
  <c r="C52" i="27" s="1"/>
  <c r="C24" i="27"/>
  <c r="B92" i="26" l="1"/>
  <c r="B94" i="26"/>
  <c r="B38" i="26"/>
  <c r="B59" i="26"/>
  <c r="B80" i="26"/>
  <c r="B46" i="26"/>
  <c r="B51" i="26"/>
  <c r="B66" i="26"/>
  <c r="B30" i="26" s="1"/>
  <c r="B87" i="26" s="1"/>
  <c r="B76" i="26"/>
  <c r="B34" i="26"/>
  <c r="B63" i="26"/>
  <c r="B72" i="26"/>
  <c r="B84" i="26"/>
  <c r="B42" i="26"/>
  <c r="B55" i="26"/>
  <c r="AD31" i="5" l="1"/>
  <c r="AE31" i="5" s="1"/>
  <c r="D30" i="27" l="1"/>
  <c r="K26" i="5" l="1"/>
  <c r="G26" i="5"/>
  <c r="D26" i="5"/>
  <c r="D24" i="27"/>
  <c r="E64" i="27"/>
  <c r="E63" i="27"/>
  <c r="E62" i="27"/>
  <c r="E61" i="27"/>
  <c r="E60" i="27"/>
  <c r="E59" i="27"/>
  <c r="E58" i="27"/>
  <c r="E57" i="27"/>
  <c r="E56" i="27"/>
  <c r="E55" i="27"/>
  <c r="E54" i="27"/>
  <c r="E53" i="27"/>
  <c r="E52" i="27"/>
  <c r="E51" i="27"/>
  <c r="E50" i="27"/>
  <c r="E49" i="27"/>
  <c r="E48" i="27"/>
  <c r="E47" i="27"/>
  <c r="E46" i="27"/>
  <c r="E45" i="27"/>
  <c r="E44" i="27"/>
  <c r="E43" i="27"/>
  <c r="E42" i="27"/>
  <c r="E41" i="27"/>
  <c r="E40" i="27"/>
  <c r="E39" i="27"/>
  <c r="E38" i="27"/>
  <c r="E37" i="27"/>
  <c r="E36" i="27"/>
  <c r="E35" i="27"/>
  <c r="E34" i="27"/>
  <c r="E33" i="27"/>
  <c r="E32" i="27"/>
  <c r="E31" i="27"/>
  <c r="E29" i="27"/>
  <c r="E28" i="27"/>
  <c r="E27" i="27"/>
  <c r="E26" i="27"/>
  <c r="E25" i="27"/>
  <c r="E30" i="27" l="1"/>
  <c r="R29" i="27"/>
  <c r="R28" i="27"/>
  <c r="R26" i="27"/>
  <c r="R25" i="27"/>
  <c r="J30" i="27"/>
  <c r="G24" i="27"/>
  <c r="H24" i="27"/>
  <c r="I24" i="27"/>
  <c r="J24" i="27"/>
  <c r="K24" i="27"/>
  <c r="O24" i="27"/>
  <c r="Q24" i="27"/>
  <c r="S24" i="27"/>
  <c r="G30" i="27"/>
  <c r="H30" i="27"/>
  <c r="I30" i="27"/>
  <c r="K30" i="27"/>
  <c r="O30" i="27"/>
  <c r="Q30" i="27"/>
  <c r="R30" i="27"/>
  <c r="S30" i="27"/>
  <c r="R24" i="27" l="1"/>
  <c r="AD29" i="5"/>
  <c r="B29" i="5"/>
  <c r="F24" i="27" l="1"/>
  <c r="E24" i="27"/>
  <c r="AD28" i="5"/>
  <c r="AE28" i="5" s="1"/>
  <c r="A15" i="5" l="1"/>
  <c r="A12" i="5"/>
  <c r="A9" i="5"/>
  <c r="A5" i="5"/>
  <c r="B86" i="23" l="1"/>
  <c r="B49" i="23"/>
  <c r="C49" i="23" s="1"/>
  <c r="D49" i="23" s="1"/>
  <c r="C74" i="23"/>
  <c r="D74" i="23" s="1"/>
  <c r="E74" i="23" s="1"/>
  <c r="F74" i="23" s="1"/>
  <c r="G74" i="23" s="1"/>
  <c r="H74" i="23" s="1"/>
  <c r="I74" i="23" s="1"/>
  <c r="J74" i="23" s="1"/>
  <c r="K74" i="23" s="1"/>
  <c r="L74" i="23" s="1"/>
  <c r="M74" i="23" s="1"/>
  <c r="N74" i="23" s="1"/>
  <c r="O74" i="23" s="1"/>
  <c r="P74" i="23" s="1"/>
  <c r="Q74" i="23" s="1"/>
  <c r="R74" i="23" s="1"/>
  <c r="S74" i="23" s="1"/>
  <c r="T74" i="23" s="1"/>
  <c r="U74" i="23" s="1"/>
  <c r="V74" i="23" s="1"/>
  <c r="W74" i="23" s="1"/>
  <c r="X74" i="23" s="1"/>
  <c r="Y74" i="23" s="1"/>
  <c r="Z74" i="23" s="1"/>
  <c r="AA74" i="23" s="1"/>
  <c r="AB74" i="23" s="1"/>
  <c r="AC74" i="23" s="1"/>
  <c r="AD74" i="23" s="1"/>
  <c r="AE74" i="23" s="1"/>
  <c r="AF74" i="23" s="1"/>
  <c r="AG74" i="23" s="1"/>
  <c r="C92" i="23"/>
  <c r="D92" i="23" s="1"/>
  <c r="E92" i="23" s="1"/>
  <c r="F92" i="23" s="1"/>
  <c r="G92" i="23" s="1"/>
  <c r="H92" i="23" s="1"/>
  <c r="I92" i="23" s="1"/>
  <c r="J92" i="23" s="1"/>
  <c r="K92" i="23" s="1"/>
  <c r="L92" i="23" s="1"/>
  <c r="M92" i="23" s="1"/>
  <c r="N92" i="23" s="1"/>
  <c r="O92" i="23" s="1"/>
  <c r="P92" i="23" s="1"/>
  <c r="Q92" i="23" s="1"/>
  <c r="R92" i="23" s="1"/>
  <c r="S92" i="23" s="1"/>
  <c r="T92" i="23" s="1"/>
  <c r="U92" i="23" s="1"/>
  <c r="V92" i="23" s="1"/>
  <c r="W92" i="23" s="1"/>
  <c r="X92" i="23" s="1"/>
  <c r="Y92" i="23" s="1"/>
  <c r="Z92" i="23" s="1"/>
  <c r="AA92" i="23" s="1"/>
  <c r="AB92" i="23" s="1"/>
  <c r="AC92" i="23" s="1"/>
  <c r="AD92" i="23" s="1"/>
  <c r="AE92" i="23" s="1"/>
  <c r="AF92" i="23" s="1"/>
  <c r="AG92" i="23" s="1"/>
  <c r="D28" i="5" l="1"/>
  <c r="D29" i="5" s="1"/>
  <c r="D31" i="5" s="1"/>
  <c r="Q132" i="14"/>
  <c r="E132" i="14"/>
  <c r="E131" i="14"/>
  <c r="R130" i="14"/>
  <c r="E130" i="14"/>
  <c r="R128" i="14"/>
  <c r="E128" i="14"/>
  <c r="R127" i="14"/>
  <c r="Q127" i="14"/>
  <c r="E127" i="14"/>
  <c r="E126" i="14"/>
  <c r="R125" i="14"/>
  <c r="E125" i="14"/>
  <c r="D125" i="14"/>
  <c r="E124" i="14"/>
  <c r="E123" i="14"/>
  <c r="R122" i="14"/>
  <c r="E122" i="14"/>
  <c r="R121" i="14"/>
  <c r="E121" i="14"/>
  <c r="D121" i="14"/>
  <c r="R120" i="14"/>
  <c r="E120" i="14"/>
  <c r="R119" i="14"/>
  <c r="E119" i="14"/>
  <c r="D119" i="14"/>
  <c r="R118" i="14"/>
  <c r="E118" i="14"/>
  <c r="R117" i="14"/>
  <c r="E117" i="14"/>
  <c r="D117" i="14"/>
  <c r="D116" i="14"/>
  <c r="R115" i="14"/>
  <c r="E115" i="14"/>
  <c r="D115" i="14"/>
  <c r="R114" i="14"/>
  <c r="E114" i="14"/>
  <c r="D114" i="14"/>
  <c r="R113" i="14"/>
  <c r="E113" i="14"/>
  <c r="R112" i="14"/>
  <c r="E112" i="14"/>
  <c r="D112" i="14"/>
  <c r="R111" i="14"/>
  <c r="E111" i="14"/>
  <c r="R110" i="14"/>
  <c r="E110" i="14"/>
  <c r="R109" i="14"/>
  <c r="E109" i="14"/>
  <c r="D109" i="14"/>
  <c r="R108" i="14"/>
  <c r="D108" i="14"/>
  <c r="R107" i="14"/>
  <c r="E107" i="14"/>
  <c r="R106" i="14"/>
  <c r="E106" i="14"/>
  <c r="D106" i="14"/>
  <c r="R105" i="14"/>
  <c r="E105" i="14"/>
  <c r="D105" i="14"/>
  <c r="R104" i="14"/>
  <c r="E104" i="14"/>
  <c r="R103" i="14"/>
  <c r="E103" i="14"/>
  <c r="D103" i="14"/>
  <c r="R102" i="14"/>
  <c r="E102" i="14"/>
  <c r="R101" i="14"/>
  <c r="E101" i="14"/>
  <c r="D101" i="14"/>
  <c r="R100" i="14"/>
  <c r="E100" i="14"/>
  <c r="D100" i="14"/>
  <c r="R98" i="14"/>
  <c r="E98" i="14"/>
  <c r="D98" i="14"/>
  <c r="D97" i="14"/>
  <c r="D96" i="14"/>
  <c r="R95" i="14"/>
  <c r="E95" i="14"/>
  <c r="R94" i="14"/>
  <c r="E94" i="14"/>
  <c r="D94" i="14"/>
  <c r="R93" i="14"/>
  <c r="E93" i="14"/>
  <c r="R92" i="14"/>
  <c r="E92" i="14"/>
  <c r="R90" i="14"/>
  <c r="R89" i="14"/>
  <c r="D89" i="14"/>
  <c r="E88" i="14"/>
  <c r="E87" i="14"/>
  <c r="D87" i="14"/>
  <c r="R86" i="14"/>
  <c r="E86" i="14"/>
  <c r="D86" i="14"/>
  <c r="R85" i="14"/>
  <c r="D85" i="14"/>
  <c r="R84" i="14"/>
  <c r="D84" i="14"/>
  <c r="R83" i="14"/>
  <c r="D83" i="14"/>
  <c r="D82" i="14"/>
  <c r="R81" i="14"/>
  <c r="D81" i="14"/>
  <c r="R80" i="14"/>
  <c r="E80" i="14"/>
  <c r="D80" i="14"/>
  <c r="D79" i="14"/>
  <c r="E78" i="14"/>
  <c r="D78" i="14"/>
  <c r="R77" i="14"/>
  <c r="E77" i="14"/>
  <c r="R76" i="14"/>
  <c r="E76" i="14"/>
  <c r="R75" i="14"/>
  <c r="E75" i="14"/>
  <c r="D75" i="14"/>
  <c r="R74" i="14"/>
  <c r="E74" i="14"/>
  <c r="D74" i="14"/>
  <c r="R73" i="14"/>
  <c r="E73" i="14"/>
  <c r="D73" i="14"/>
  <c r="R72" i="14"/>
  <c r="E72" i="14"/>
  <c r="D72" i="14"/>
  <c r="E70" i="14"/>
  <c r="D70" i="14"/>
  <c r="R69" i="14"/>
  <c r="E69" i="14"/>
  <c r="R68" i="14"/>
  <c r="E68" i="14"/>
  <c r="D68" i="14"/>
  <c r="R67" i="14"/>
  <c r="E67" i="14"/>
  <c r="R66" i="14"/>
  <c r="E66" i="14"/>
  <c r="R65" i="14"/>
  <c r="E65" i="14"/>
  <c r="E64" i="14"/>
  <c r="D64" i="14"/>
  <c r="R63" i="14"/>
  <c r="E63" i="14"/>
  <c r="D63" i="14"/>
  <c r="R62" i="14"/>
  <c r="R61" i="14"/>
  <c r="E61" i="14"/>
  <c r="R60" i="14"/>
  <c r="E60" i="14"/>
  <c r="R59" i="14"/>
  <c r="E59" i="14"/>
  <c r="D59" i="14"/>
  <c r="R58" i="14"/>
  <c r="E58" i="14"/>
  <c r="R57" i="14"/>
  <c r="E57" i="14"/>
  <c r="R56" i="14"/>
  <c r="E56" i="14"/>
  <c r="R55" i="14"/>
  <c r="E55" i="14"/>
  <c r="E54" i="14"/>
  <c r="R53" i="14"/>
  <c r="E53" i="14"/>
  <c r="D53" i="14"/>
  <c r="E51" i="14"/>
  <c r="E50" i="14"/>
  <c r="R49" i="14"/>
  <c r="E49" i="14"/>
  <c r="D49" i="14"/>
  <c r="R48" i="14"/>
  <c r="R47" i="14"/>
  <c r="E47" i="14"/>
  <c r="R46" i="14"/>
  <c r="E46" i="14"/>
  <c r="E45" i="14"/>
  <c r="D45" i="14"/>
  <c r="R44" i="14"/>
  <c r="E44" i="14"/>
  <c r="R43" i="14"/>
  <c r="E43" i="14"/>
  <c r="D43" i="14"/>
  <c r="E42" i="14"/>
  <c r="D42" i="14"/>
  <c r="R41" i="14"/>
  <c r="E41" i="14"/>
  <c r="E40" i="14"/>
  <c r="D40" i="14"/>
  <c r="R39" i="14"/>
  <c r="E39" i="14"/>
  <c r="D39" i="14"/>
  <c r="D38" i="14"/>
  <c r="R37" i="14"/>
  <c r="E37" i="14"/>
  <c r="D37" i="14"/>
  <c r="E36" i="14"/>
  <c r="R35" i="14"/>
  <c r="E35" i="14"/>
  <c r="D35" i="14"/>
  <c r="R34" i="14"/>
  <c r="E34" i="14"/>
  <c r="R33" i="14"/>
  <c r="E33" i="14"/>
  <c r="R32" i="14"/>
  <c r="Q32" i="14"/>
  <c r="Q133" i="14" s="1"/>
  <c r="E32" i="14"/>
  <c r="R31" i="14"/>
  <c r="E31" i="14"/>
  <c r="R30" i="14"/>
  <c r="R29" i="14"/>
  <c r="R28" i="14"/>
  <c r="R26" i="14"/>
  <c r="R25" i="14"/>
  <c r="R133" i="14" l="1"/>
  <c r="S54" i="14"/>
  <c r="S49" i="14"/>
  <c r="S85" i="14"/>
  <c r="S106" i="14"/>
  <c r="S133" i="14" l="1"/>
  <c r="AD26" i="5" l="1"/>
  <c r="AD34" i="5" l="1"/>
  <c r="AE26" i="5"/>
  <c r="G28" i="5" l="1"/>
  <c r="G29" i="5" s="1"/>
  <c r="G31" i="5" s="1"/>
  <c r="T37" i="27"/>
  <c r="T41" i="27"/>
  <c r="K28" i="5"/>
  <c r="K29" i="5" s="1"/>
  <c r="K31" i="5" s="1"/>
  <c r="U64" i="27"/>
  <c r="T64" i="27"/>
  <c r="U63" i="27"/>
  <c r="U62" i="27"/>
  <c r="T62" i="27"/>
  <c r="U61" i="27"/>
  <c r="T61" i="27"/>
  <c r="U60" i="27"/>
  <c r="T60" i="27"/>
  <c r="U59" i="27"/>
  <c r="T59" i="27"/>
  <c r="U58" i="27"/>
  <c r="T58" i="27"/>
  <c r="U57" i="27"/>
  <c r="U56" i="27"/>
  <c r="U55" i="27"/>
  <c r="T55" i="27"/>
  <c r="U54" i="27"/>
  <c r="U53" i="27"/>
  <c r="T53" i="27"/>
  <c r="U52" i="27"/>
  <c r="U51" i="27"/>
  <c r="T51" i="27"/>
  <c r="U50" i="27"/>
  <c r="T50" i="27"/>
  <c r="U49" i="27"/>
  <c r="U48" i="27"/>
  <c r="T48" i="27"/>
  <c r="U47" i="27"/>
  <c r="U46" i="27"/>
  <c r="T46" i="27"/>
  <c r="U45" i="27"/>
  <c r="U44" i="27"/>
  <c r="T44" i="27"/>
  <c r="U43" i="27"/>
  <c r="T43" i="27"/>
  <c r="U42" i="27"/>
  <c r="T42" i="27"/>
  <c r="U41" i="27"/>
  <c r="U40" i="27"/>
  <c r="T40" i="27"/>
  <c r="U39" i="27"/>
  <c r="T39" i="27"/>
  <c r="U38" i="27"/>
  <c r="T38" i="27"/>
  <c r="U37" i="27"/>
  <c r="U36" i="27"/>
  <c r="T36" i="27"/>
  <c r="U35" i="27"/>
  <c r="T35" i="27"/>
  <c r="U34" i="27"/>
  <c r="T34" i="27"/>
  <c r="U33" i="27"/>
  <c r="T33" i="27"/>
  <c r="U32" i="27"/>
  <c r="T31" i="27"/>
  <c r="U29" i="27"/>
  <c r="T29" i="27"/>
  <c r="U28" i="27"/>
  <c r="T28" i="27"/>
  <c r="U27" i="27"/>
  <c r="T27" i="27"/>
  <c r="U26" i="27"/>
  <c r="T26" i="27"/>
  <c r="U25" i="27"/>
  <c r="T25" i="27"/>
  <c r="U24" i="27"/>
  <c r="C48" i="7" s="1"/>
  <c r="A15" i="10"/>
  <c r="A12" i="10"/>
  <c r="A9" i="10"/>
  <c r="A5" i="10"/>
  <c r="B82" i="23" l="1"/>
  <c r="C82" i="23"/>
  <c r="T52" i="27"/>
  <c r="B25" i="23"/>
  <c r="D68" i="23" s="1"/>
  <c r="E68" i="23" s="1"/>
  <c r="F68" i="23" s="1"/>
  <c r="G68" i="23" s="1"/>
  <c r="H68" i="23" s="1"/>
  <c r="I68" i="23" s="1"/>
  <c r="J68" i="23" s="1"/>
  <c r="K68" i="23" s="1"/>
  <c r="L68" i="23" s="1"/>
  <c r="M68" i="23" s="1"/>
  <c r="N68" i="23" s="1"/>
  <c r="O68" i="23" s="1"/>
  <c r="P68" i="23" s="1"/>
  <c r="Q68" i="23" s="1"/>
  <c r="R68" i="23" s="1"/>
  <c r="S68" i="23" s="1"/>
  <c r="T68" i="23" s="1"/>
  <c r="U68" i="23" s="1"/>
  <c r="V68" i="23" s="1"/>
  <c r="W68" i="23" s="1"/>
  <c r="X68" i="23" s="1"/>
  <c r="Y68" i="23" s="1"/>
  <c r="Z68" i="23" s="1"/>
  <c r="AA68" i="23" s="1"/>
  <c r="AB68" i="23" s="1"/>
  <c r="AC68" i="23" s="1"/>
  <c r="AD68" i="23" s="1"/>
  <c r="AE68" i="23" s="1"/>
  <c r="AF68" i="23" s="1"/>
  <c r="AG68" i="23" s="1"/>
  <c r="T47" i="27"/>
  <c r="T45" i="27"/>
  <c r="T24" i="27"/>
  <c r="T49" i="27"/>
  <c r="T30" i="27"/>
  <c r="T32" i="27"/>
  <c r="T57" i="27" l="1"/>
  <c r="T56" i="27"/>
  <c r="T63" i="27"/>
  <c r="T54" i="27"/>
  <c r="A4" i="12" l="1"/>
  <c r="A15" i="26" l="1"/>
  <c r="B21" i="26" s="1"/>
  <c r="A14" i="12" l="1"/>
  <c r="J31" i="17" l="1"/>
  <c r="F31" i="17"/>
  <c r="I31" i="17" s="1"/>
  <c r="J30" i="17"/>
  <c r="F30" i="17"/>
  <c r="I30" i="17" s="1"/>
  <c r="J29" i="17"/>
  <c r="F29" i="17"/>
  <c r="I29" i="17" s="1"/>
  <c r="J28" i="17"/>
  <c r="F28" i="17"/>
  <c r="I28" i="17" s="1"/>
  <c r="J27" i="17"/>
  <c r="I27" i="17"/>
  <c r="F27" i="17"/>
  <c r="D26" i="17"/>
  <c r="J26" i="17" s="1"/>
  <c r="T26" i="17" s="1"/>
  <c r="X26" i="17" s="1"/>
  <c r="C26" i="17"/>
  <c r="P26" i="17" s="1"/>
  <c r="F26" i="17" l="1"/>
  <c r="O26" i="17" s="1"/>
  <c r="I26" i="17" l="1"/>
  <c r="S26" i="17" s="1"/>
  <c r="W26" i="17" s="1"/>
  <c r="Q26" i="17" l="1"/>
  <c r="AG86" i="23" l="1"/>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E77" i="23"/>
  <c r="D77" i="23"/>
  <c r="C77" i="23"/>
  <c r="B77" i="23"/>
  <c r="B59" i="23"/>
  <c r="AB63" i="23"/>
  <c r="T63" i="23"/>
  <c r="L63" i="23"/>
  <c r="D60" i="23"/>
  <c r="C60" i="23"/>
  <c r="B60" i="23"/>
  <c r="AG59" i="23"/>
  <c r="AG81" i="23" s="1"/>
  <c r="AF59" i="23"/>
  <c r="AF81" i="23" s="1"/>
  <c r="AE59" i="23"/>
  <c r="AE81" i="23" s="1"/>
  <c r="AD59" i="23"/>
  <c r="AD81" i="23" s="1"/>
  <c r="AC59" i="23"/>
  <c r="AC81" i="23" s="1"/>
  <c r="AB59" i="23"/>
  <c r="AB81" i="23" s="1"/>
  <c r="AA59" i="23"/>
  <c r="AA81" i="23" s="1"/>
  <c r="Z59" i="23"/>
  <c r="Z81" i="23" s="1"/>
  <c r="Y59" i="23"/>
  <c r="Y81" i="23" s="1"/>
  <c r="X59" i="23"/>
  <c r="X81" i="23" s="1"/>
  <c r="W59" i="23"/>
  <c r="W81" i="23" s="1"/>
  <c r="V59" i="23"/>
  <c r="V81" i="23" s="1"/>
  <c r="U59" i="23"/>
  <c r="U81" i="23" s="1"/>
  <c r="T59" i="23"/>
  <c r="T81" i="23" s="1"/>
  <c r="S59" i="23"/>
  <c r="S81" i="23" s="1"/>
  <c r="R59" i="23"/>
  <c r="R81" i="23" s="1"/>
  <c r="Q59" i="23"/>
  <c r="Q81" i="23" s="1"/>
  <c r="P59" i="23"/>
  <c r="P81" i="23" s="1"/>
  <c r="O59" i="23"/>
  <c r="O81" i="23" s="1"/>
  <c r="N59" i="23"/>
  <c r="N81" i="23" s="1"/>
  <c r="M59" i="23"/>
  <c r="M81" i="23" s="1"/>
  <c r="L59" i="23"/>
  <c r="L81" i="23" s="1"/>
  <c r="K59" i="23"/>
  <c r="K81" i="23" s="1"/>
  <c r="J59" i="23"/>
  <c r="J81" i="23" s="1"/>
  <c r="I59" i="23"/>
  <c r="I81" i="23" s="1"/>
  <c r="H59" i="23"/>
  <c r="H81" i="23" s="1"/>
  <c r="G59" i="23"/>
  <c r="G81" i="23" s="1"/>
  <c r="F59" i="23"/>
  <c r="F81" i="23" s="1"/>
  <c r="E59" i="23"/>
  <c r="E81" i="23" s="1"/>
  <c r="D59" i="23"/>
  <c r="D81" i="23" s="1"/>
  <c r="C59" i="23"/>
  <c r="B46" i="23"/>
  <c r="E49" i="23"/>
  <c r="F49" i="23" s="1"/>
  <c r="B80" i="23" l="1"/>
  <c r="C80" i="23" s="1"/>
  <c r="C67" i="23"/>
  <c r="C69" i="23" s="1"/>
  <c r="C81" i="23"/>
  <c r="B81" i="23"/>
  <c r="B67" i="23"/>
  <c r="B69" i="23" s="1"/>
  <c r="D67" i="23"/>
  <c r="D69" i="23" s="1"/>
  <c r="G49" i="23"/>
  <c r="F62" i="23"/>
  <c r="F60" i="23" s="1"/>
  <c r="F67" i="23" s="1"/>
  <c r="E60" i="23"/>
  <c r="E67" i="23" s="1"/>
  <c r="E69" i="23" s="1"/>
  <c r="G77" i="23" l="1"/>
  <c r="L77" i="23"/>
  <c r="T77" i="23"/>
  <c r="AB77" i="23"/>
  <c r="O77" i="23"/>
  <c r="W77" i="23"/>
  <c r="AE77" i="23"/>
  <c r="F69" i="23"/>
  <c r="F76" i="23" s="1"/>
  <c r="J77" i="23"/>
  <c r="R77" i="23"/>
  <c r="Z77" i="23"/>
  <c r="M77" i="23"/>
  <c r="U77" i="23"/>
  <c r="AC77" i="23"/>
  <c r="F77" i="23"/>
  <c r="N77" i="23"/>
  <c r="V77" i="23"/>
  <c r="AD77" i="23"/>
  <c r="I77" i="23"/>
  <c r="Q77" i="23"/>
  <c r="Y77" i="23"/>
  <c r="AG77" i="23"/>
  <c r="H77" i="23"/>
  <c r="P77" i="23"/>
  <c r="X77" i="23"/>
  <c r="AF77" i="23"/>
  <c r="K77" i="23"/>
  <c r="S77" i="23"/>
  <c r="AA77" i="23"/>
  <c r="E71" i="23"/>
  <c r="E72" i="23" s="1"/>
  <c r="E73" i="23" s="1"/>
  <c r="E76" i="23"/>
  <c r="D71" i="23"/>
  <c r="D72" i="23" s="1"/>
  <c r="D73" i="23" s="1"/>
  <c r="D76" i="23"/>
  <c r="B71" i="23"/>
  <c r="B76" i="23"/>
  <c r="C71" i="23"/>
  <c r="C76" i="23"/>
  <c r="H49" i="23"/>
  <c r="H61" i="23" s="1"/>
  <c r="G62" i="23"/>
  <c r="G60" i="23" s="1"/>
  <c r="G67" i="23" s="1"/>
  <c r="F71" i="23" l="1"/>
  <c r="F72" i="23" s="1"/>
  <c r="F73" i="23" s="1"/>
  <c r="G69" i="23"/>
  <c r="G76" i="23" s="1"/>
  <c r="C72" i="23"/>
  <c r="C73" i="23" s="1"/>
  <c r="B72" i="23"/>
  <c r="B73" i="23" s="1"/>
  <c r="I49" i="23"/>
  <c r="H62" i="23"/>
  <c r="H60" i="23" s="1"/>
  <c r="H67" i="23" s="1"/>
  <c r="H69" i="23" s="1"/>
  <c r="G71" i="23" l="1"/>
  <c r="G72" i="23" s="1"/>
  <c r="G73" i="23" s="1"/>
  <c r="H71" i="23"/>
  <c r="H72" i="23" s="1"/>
  <c r="H76" i="23"/>
  <c r="B79" i="23"/>
  <c r="J49" i="23"/>
  <c r="I62" i="23"/>
  <c r="I60" i="23" l="1"/>
  <c r="I67" i="23" s="1"/>
  <c r="I69" i="23" s="1"/>
  <c r="I76" i="23" s="1"/>
  <c r="H73" i="23"/>
  <c r="C79" i="23"/>
  <c r="K49" i="23"/>
  <c r="K61" i="23" s="1"/>
  <c r="J62" i="23"/>
  <c r="J60" i="23" s="1"/>
  <c r="J67" i="23" s="1"/>
  <c r="J69" i="23" s="1"/>
  <c r="I71" i="23" l="1"/>
  <c r="I72" i="23" s="1"/>
  <c r="I73" i="23" s="1"/>
  <c r="J71" i="23"/>
  <c r="J72" i="23" s="1"/>
  <c r="J76" i="23"/>
  <c r="D79" i="23"/>
  <c r="L49" i="23"/>
  <c r="K62" i="23"/>
  <c r="K60" i="23" s="1"/>
  <c r="K67" i="23" s="1"/>
  <c r="K69" i="23" s="1"/>
  <c r="D82" i="23"/>
  <c r="E82" i="23"/>
  <c r="D80" i="23" l="1"/>
  <c r="B84" i="23"/>
  <c r="J73" i="23"/>
  <c r="K71" i="23"/>
  <c r="K72" i="23" s="1"/>
  <c r="K73" i="23" s="1"/>
  <c r="K76" i="23"/>
  <c r="E79" i="23"/>
  <c r="M49" i="23"/>
  <c r="L62" i="23"/>
  <c r="L60" i="23" s="1"/>
  <c r="L67" i="23" s="1"/>
  <c r="L69" i="23" s="1"/>
  <c r="E80" i="23" l="1"/>
  <c r="C84" i="23"/>
  <c r="B89" i="23"/>
  <c r="B85" i="23"/>
  <c r="B90" i="23" s="1"/>
  <c r="B87" i="23"/>
  <c r="B88" i="23" s="1"/>
  <c r="B91" i="23" s="1"/>
  <c r="L71" i="23"/>
  <c r="L72" i="23" s="1"/>
  <c r="L76" i="23"/>
  <c r="F79" i="23"/>
  <c r="G79" i="23" s="1"/>
  <c r="N49" i="23"/>
  <c r="N61" i="23" s="1"/>
  <c r="M62" i="23"/>
  <c r="M60" i="23" s="1"/>
  <c r="M67" i="23" s="1"/>
  <c r="M69" i="23" s="1"/>
  <c r="F80" i="23" l="1"/>
  <c r="G80" i="23" s="1"/>
  <c r="C87" i="23"/>
  <c r="C88" i="23" s="1"/>
  <c r="C91" i="23" s="1"/>
  <c r="C89" i="23"/>
  <c r="C85" i="23"/>
  <c r="C90" i="23" s="1"/>
  <c r="D84" i="23"/>
  <c r="L73" i="23"/>
  <c r="M71" i="23"/>
  <c r="M72" i="23" s="1"/>
  <c r="M73" i="23" s="1"/>
  <c r="M76" i="23"/>
  <c r="H79" i="23"/>
  <c r="I79" i="23" s="1"/>
  <c r="O49" i="23"/>
  <c r="N62" i="23"/>
  <c r="N60" i="23" s="1"/>
  <c r="N67" i="23" s="1"/>
  <c r="N69" i="23" s="1"/>
  <c r="F84" i="23" l="1"/>
  <c r="F87" i="23" s="1"/>
  <c r="H80" i="23"/>
  <c r="I80" i="23" s="1"/>
  <c r="J80" i="23" s="1"/>
  <c r="K80" i="23" s="1"/>
  <c r="L80" i="23" s="1"/>
  <c r="E84" i="23"/>
  <c r="D87" i="23"/>
  <c r="D88" i="23" s="1"/>
  <c r="D91" i="23" s="1"/>
  <c r="D89" i="23"/>
  <c r="D85" i="23"/>
  <c r="D90" i="23" s="1"/>
  <c r="N71" i="23"/>
  <c r="N72" i="23" s="1"/>
  <c r="N76" i="23"/>
  <c r="J79" i="23"/>
  <c r="P49" i="23"/>
  <c r="O62" i="23"/>
  <c r="O60" i="23" s="1"/>
  <c r="O67" i="23" s="1"/>
  <c r="O69" i="23" s="1"/>
  <c r="I84" i="23" l="1"/>
  <c r="I87" i="23" s="1"/>
  <c r="M80" i="23"/>
  <c r="N80" i="23" s="1"/>
  <c r="H84" i="23"/>
  <c r="H87" i="23" s="1"/>
  <c r="E85" i="23"/>
  <c r="E90" i="23" s="1"/>
  <c r="E87" i="23"/>
  <c r="E88" i="23" s="1"/>
  <c r="E91" i="23" s="1"/>
  <c r="F85" i="23"/>
  <c r="E89" i="23"/>
  <c r="G84" i="23"/>
  <c r="F89" i="23"/>
  <c r="N73" i="23"/>
  <c r="O71" i="23"/>
  <c r="O72" i="23" s="1"/>
  <c r="O73" i="23" s="1"/>
  <c r="O76" i="23"/>
  <c r="K79" i="23"/>
  <c r="L79" i="23" s="1"/>
  <c r="Q49" i="23"/>
  <c r="Q61" i="23" s="1"/>
  <c r="P62" i="23"/>
  <c r="O80" i="23" l="1"/>
  <c r="P80" i="23" s="1"/>
  <c r="P60" i="23"/>
  <c r="P67" i="23" s="1"/>
  <c r="P69" i="23" s="1"/>
  <c r="P71" i="23" s="1"/>
  <c r="P72" i="23" s="1"/>
  <c r="H85" i="23"/>
  <c r="H89" i="23"/>
  <c r="F88" i="23"/>
  <c r="F91" i="23" s="1"/>
  <c r="F90" i="23"/>
  <c r="I85" i="23"/>
  <c r="I90" i="23" s="1"/>
  <c r="I89" i="23"/>
  <c r="J84" i="23"/>
  <c r="J85" i="23" s="1"/>
  <c r="G87" i="23"/>
  <c r="G88" i="23" s="1"/>
  <c r="G85" i="23"/>
  <c r="G90" i="23" s="1"/>
  <c r="G89" i="23"/>
  <c r="L84" i="23"/>
  <c r="L87" i="23" s="1"/>
  <c r="K84" i="23"/>
  <c r="M79" i="23"/>
  <c r="R49" i="23"/>
  <c r="Q62" i="23"/>
  <c r="Q60" i="23" s="1"/>
  <c r="Q67" i="23" s="1"/>
  <c r="Q69" i="23" s="1"/>
  <c r="P76" i="23" l="1"/>
  <c r="J87" i="23"/>
  <c r="J88" i="23" s="1"/>
  <c r="Q80" i="23"/>
  <c r="M84" i="23"/>
  <c r="M87" i="23" s="1"/>
  <c r="J89" i="23"/>
  <c r="L89" i="23"/>
  <c r="G91" i="23"/>
  <c r="J90" i="23"/>
  <c r="H88" i="23"/>
  <c r="H91" i="23" s="1"/>
  <c r="H90" i="23"/>
  <c r="I88" i="23"/>
  <c r="K85" i="23"/>
  <c r="K90" i="23" s="1"/>
  <c r="P73" i="23"/>
  <c r="L85" i="23"/>
  <c r="K89" i="23"/>
  <c r="Q71" i="23"/>
  <c r="Q72" i="23" s="1"/>
  <c r="Q73" i="23" s="1"/>
  <c r="Q76" i="23"/>
  <c r="N79" i="23"/>
  <c r="O79" i="23" s="1"/>
  <c r="K87" i="23"/>
  <c r="S49" i="23"/>
  <c r="R62" i="23"/>
  <c r="L88" i="23" l="1"/>
  <c r="M85" i="23"/>
  <c r="M90" i="23" s="1"/>
  <c r="R60" i="23"/>
  <c r="R67" i="23" s="1"/>
  <c r="R69" i="23" s="1"/>
  <c r="R76" i="23" s="1"/>
  <c r="R80" i="23"/>
  <c r="M89" i="23"/>
  <c r="I91" i="23"/>
  <c r="N84" i="23"/>
  <c r="N85" i="23" s="1"/>
  <c r="L90" i="23"/>
  <c r="J91" i="23"/>
  <c r="O84" i="23"/>
  <c r="O87" i="23" s="1"/>
  <c r="P79" i="23"/>
  <c r="P84" i="23" s="1"/>
  <c r="K88" i="23"/>
  <c r="K91" i="23" s="1"/>
  <c r="M88" i="23"/>
  <c r="M91" i="23" s="1"/>
  <c r="T49" i="23"/>
  <c r="T61" i="23" s="1"/>
  <c r="S62" i="23"/>
  <c r="R71" i="23" l="1"/>
  <c r="R72" i="23" s="1"/>
  <c r="N90" i="23"/>
  <c r="S60" i="23"/>
  <c r="S67" i="23" s="1"/>
  <c r="S69" i="23" s="1"/>
  <c r="S76" i="23" s="1"/>
  <c r="S80" i="23"/>
  <c r="N87" i="23"/>
  <c r="N88" i="23" s="1"/>
  <c r="N91" i="23" s="1"/>
  <c r="N89" i="23"/>
  <c r="O85" i="23"/>
  <c r="O90" i="23" s="1"/>
  <c r="P89" i="23"/>
  <c r="O89" i="23"/>
  <c r="Q79" i="23"/>
  <c r="Q84" i="23" s="1"/>
  <c r="Q89" i="23" s="1"/>
  <c r="L91" i="23"/>
  <c r="P87" i="23"/>
  <c r="P85" i="23"/>
  <c r="U49" i="23"/>
  <c r="T62" i="23"/>
  <c r="S71" i="23" l="1"/>
  <c r="S72" i="23" s="1"/>
  <c r="S73" i="23" s="1"/>
  <c r="R73" i="23"/>
  <c r="T60" i="23"/>
  <c r="T67" i="23" s="1"/>
  <c r="T69" i="23" s="1"/>
  <c r="T76" i="23" s="1"/>
  <c r="T80" i="23"/>
  <c r="P88" i="23"/>
  <c r="O88" i="23"/>
  <c r="G30" i="23" s="1"/>
  <c r="Q85" i="23"/>
  <c r="Q90" i="23" s="1"/>
  <c r="P90" i="23"/>
  <c r="R79" i="23"/>
  <c r="R84" i="23" s="1"/>
  <c r="R87" i="23" s="1"/>
  <c r="Q87" i="23"/>
  <c r="Q88" i="23" s="1"/>
  <c r="T71" i="23"/>
  <c r="T72" i="23" s="1"/>
  <c r="V49" i="23"/>
  <c r="U62" i="23"/>
  <c r="O91" i="23" l="1"/>
  <c r="U60" i="23"/>
  <c r="U67" i="23" s="1"/>
  <c r="U69" i="23" s="1"/>
  <c r="U71" i="23" s="1"/>
  <c r="U72" i="23" s="1"/>
  <c r="U73" i="23" s="1"/>
  <c r="U80" i="23"/>
  <c r="Q91" i="23"/>
  <c r="P91" i="23"/>
  <c r="S79" i="23"/>
  <c r="S84" i="23" s="1"/>
  <c r="S87" i="23" s="1"/>
  <c r="S88" i="23" s="1"/>
  <c r="R89" i="23"/>
  <c r="R85" i="23"/>
  <c r="R90" i="23" s="1"/>
  <c r="R88" i="23"/>
  <c r="R91" i="23" s="1"/>
  <c r="T73" i="23"/>
  <c r="W49" i="23"/>
  <c r="W61" i="23" s="1"/>
  <c r="V62" i="23"/>
  <c r="S85" i="23" l="1"/>
  <c r="S90" i="23" s="1"/>
  <c r="U76" i="23"/>
  <c r="V60" i="23"/>
  <c r="V67" i="23" s="1"/>
  <c r="V69" i="23" s="1"/>
  <c r="V71" i="23" s="1"/>
  <c r="V72" i="23" s="1"/>
  <c r="V73" i="23" s="1"/>
  <c r="V80" i="23"/>
  <c r="S89" i="23"/>
  <c r="T79" i="23"/>
  <c r="T84" i="23" s="1"/>
  <c r="T89" i="23" s="1"/>
  <c r="S91" i="23"/>
  <c r="X49" i="23"/>
  <c r="W62" i="23"/>
  <c r="V76" i="23" l="1"/>
  <c r="T87" i="23"/>
  <c r="T88" i="23" s="1"/>
  <c r="T91" i="23" s="1"/>
  <c r="W60" i="23"/>
  <c r="W67" i="23" s="1"/>
  <c r="W69" i="23" s="1"/>
  <c r="W71" i="23" s="1"/>
  <c r="W72" i="23" s="1"/>
  <c r="W80" i="23"/>
  <c r="U79" i="23"/>
  <c r="U84" i="23" s="1"/>
  <c r="U87" i="23" s="1"/>
  <c r="T85" i="23"/>
  <c r="T90" i="23" s="1"/>
  <c r="Y49" i="23"/>
  <c r="X62" i="23"/>
  <c r="U88" i="23" l="1"/>
  <c r="U91" i="23" s="1"/>
  <c r="W76" i="23"/>
  <c r="X60" i="23"/>
  <c r="X67" i="23" s="1"/>
  <c r="X69" i="23" s="1"/>
  <c r="X71" i="23" s="1"/>
  <c r="X72" i="23" s="1"/>
  <c r="X73" i="23" s="1"/>
  <c r="X80" i="23"/>
  <c r="V79" i="23"/>
  <c r="V84" i="23" s="1"/>
  <c r="V87" i="23" s="1"/>
  <c r="V88" i="23" s="1"/>
  <c r="V91" i="23" s="1"/>
  <c r="U85" i="23"/>
  <c r="U90" i="23" s="1"/>
  <c r="U89" i="23"/>
  <c r="W73" i="23"/>
  <c r="Z49" i="23"/>
  <c r="Z61" i="23" s="1"/>
  <c r="Y62" i="23"/>
  <c r="V89" i="23" l="1"/>
  <c r="X76" i="23"/>
  <c r="Y60" i="23"/>
  <c r="Y67" i="23" s="1"/>
  <c r="Y69" i="23" s="1"/>
  <c r="Y76" i="23" s="1"/>
  <c r="Y80" i="23"/>
  <c r="V85" i="23"/>
  <c r="V90" i="23" s="1"/>
  <c r="W79" i="23"/>
  <c r="W84" i="23" s="1"/>
  <c r="W87" i="23" s="1"/>
  <c r="W88" i="23" s="1"/>
  <c r="W91" i="23" s="1"/>
  <c r="AA49" i="23"/>
  <c r="Z62" i="23"/>
  <c r="W89" i="23" l="1"/>
  <c r="Y71" i="23"/>
  <c r="Y72" i="23" s="1"/>
  <c r="Y73" i="23" s="1"/>
  <c r="Z60" i="23"/>
  <c r="Z67" i="23" s="1"/>
  <c r="Z69" i="23" s="1"/>
  <c r="Z71" i="23" s="1"/>
  <c r="Z72" i="23" s="1"/>
  <c r="Z80" i="23"/>
  <c r="X79" i="23"/>
  <c r="X84" i="23" s="1"/>
  <c r="X87" i="23" s="1"/>
  <c r="X88" i="23" s="1"/>
  <c r="X91" i="23" s="1"/>
  <c r="W85" i="23"/>
  <c r="W90" i="23" s="1"/>
  <c r="AB49" i="23"/>
  <c r="AA62" i="23"/>
  <c r="A12" i="26"/>
  <c r="A9" i="26"/>
  <c r="Z76" i="23" l="1"/>
  <c r="AA60" i="23"/>
  <c r="AA67" i="23" s="1"/>
  <c r="AA69" i="23" s="1"/>
  <c r="AA71" i="23" s="1"/>
  <c r="AA72" i="23" s="1"/>
  <c r="AA73" i="23" s="1"/>
  <c r="AA80" i="23"/>
  <c r="Y79" i="23"/>
  <c r="Y84" i="23" s="1"/>
  <c r="Y85" i="23" s="1"/>
  <c r="X89" i="23"/>
  <c r="X85" i="23"/>
  <c r="X90" i="23" s="1"/>
  <c r="Z73" i="23"/>
  <c r="AC49" i="23"/>
  <c r="AC61" i="23" s="1"/>
  <c r="AB62" i="23"/>
  <c r="AA76" i="23" l="1"/>
  <c r="AB60" i="23"/>
  <c r="AB67" i="23" s="1"/>
  <c r="AB69" i="23" s="1"/>
  <c r="AB76" i="23" s="1"/>
  <c r="AB80" i="23"/>
  <c r="Y89" i="23"/>
  <c r="Z79" i="23"/>
  <c r="Z84" i="23" s="1"/>
  <c r="Z85" i="23" s="1"/>
  <c r="Z90" i="23" s="1"/>
  <c r="Y90" i="23"/>
  <c r="Y87" i="23"/>
  <c r="Y88" i="23" s="1"/>
  <c r="Y91" i="23" s="1"/>
  <c r="AD49" i="23"/>
  <c r="AC62" i="23"/>
  <c r="A15" i="13"/>
  <c r="A15" i="14" s="1"/>
  <c r="A15" i="6" s="1"/>
  <c r="A14" i="17" s="1"/>
  <c r="A15" i="23" s="1"/>
  <c r="A15" i="24" s="1"/>
  <c r="A14" i="27" s="1"/>
  <c r="AB71" i="23" l="1"/>
  <c r="AB72" i="23" s="1"/>
  <c r="AC60" i="23"/>
  <c r="AC67" i="23" s="1"/>
  <c r="AC69" i="23" s="1"/>
  <c r="AC71" i="23" s="1"/>
  <c r="AC72" i="23" s="1"/>
  <c r="AC80" i="23"/>
  <c r="Z89" i="23"/>
  <c r="Z87" i="23"/>
  <c r="Z88" i="23" s="1"/>
  <c r="Z91" i="23" s="1"/>
  <c r="AA79" i="23"/>
  <c r="AA84" i="23" s="1"/>
  <c r="AA87" i="23" s="1"/>
  <c r="AE49" i="23"/>
  <c r="AD62" i="23"/>
  <c r="A11" i="12"/>
  <c r="A12" i="13" s="1"/>
  <c r="A8" i="12"/>
  <c r="A9" i="13" s="1"/>
  <c r="E9" i="14" s="1"/>
  <c r="A9" i="6" s="1"/>
  <c r="A8" i="17" s="1"/>
  <c r="A9" i="23" s="1"/>
  <c r="A9" i="24" s="1"/>
  <c r="A8" i="27" s="1"/>
  <c r="AB73" i="23" l="1"/>
  <c r="AA85" i="23"/>
  <c r="AA90" i="23" s="1"/>
  <c r="AC76" i="23"/>
  <c r="AD60" i="23"/>
  <c r="AD67" i="23" s="1"/>
  <c r="AD69" i="23" s="1"/>
  <c r="AD76" i="23" s="1"/>
  <c r="AD80" i="23"/>
  <c r="AA89" i="23"/>
  <c r="AA88" i="23"/>
  <c r="AA91" i="23" s="1"/>
  <c r="AB79" i="23"/>
  <c r="AB84" i="23" s="1"/>
  <c r="AB87" i="23" s="1"/>
  <c r="AB88" i="23" s="1"/>
  <c r="AC73" i="23"/>
  <c r="AF49" i="23"/>
  <c r="AF61" i="23" s="1"/>
  <c r="AE62" i="23"/>
  <c r="A5" i="13"/>
  <c r="A5" i="14" s="1"/>
  <c r="A5" i="6" s="1"/>
  <c r="A4" i="17" s="1"/>
  <c r="A5" i="23" s="1"/>
  <c r="A5" i="24" s="1"/>
  <c r="A4" i="27" s="1"/>
  <c r="A5" i="26"/>
  <c r="AC79" i="23" l="1"/>
  <c r="AC84" i="23" s="1"/>
  <c r="AB89" i="23"/>
  <c r="AD71" i="23"/>
  <c r="AD72" i="23" s="1"/>
  <c r="AE80" i="23"/>
  <c r="AB85" i="23"/>
  <c r="AB90" i="23" s="1"/>
  <c r="AB91" i="23"/>
  <c r="AE60" i="23"/>
  <c r="AE67" i="23" s="1"/>
  <c r="AE69" i="23" s="1"/>
  <c r="AG49" i="23"/>
  <c r="AF62" i="23"/>
  <c r="E12" i="14"/>
  <c r="A12" i="6" s="1"/>
  <c r="A11" i="17" s="1"/>
  <c r="A12" i="23" s="1"/>
  <c r="A12" i="24" s="1"/>
  <c r="A11" i="27" s="1"/>
  <c r="AD79" i="23" l="1"/>
  <c r="AD84" i="23" s="1"/>
  <c r="AD87" i="23" s="1"/>
  <c r="AD73" i="23"/>
  <c r="AC87" i="23"/>
  <c r="AC88" i="23" s="1"/>
  <c r="AC91" i="23" s="1"/>
  <c r="AC85" i="23"/>
  <c r="AC90" i="23" s="1"/>
  <c r="AC89" i="23"/>
  <c r="AF60" i="23"/>
  <c r="AF67" i="23" s="1"/>
  <c r="AF69" i="23" s="1"/>
  <c r="AF76" i="23" s="1"/>
  <c r="AF80" i="23"/>
  <c r="AF71" i="23"/>
  <c r="AF72" i="23" s="1"/>
  <c r="AF73" i="23" s="1"/>
  <c r="AE71" i="23"/>
  <c r="AE76" i="23"/>
  <c r="AG62"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D85" i="23" l="1"/>
  <c r="AD90" i="23" s="1"/>
  <c r="AD89" i="23"/>
  <c r="AD88" i="23"/>
  <c r="AD91" i="23" s="1"/>
  <c r="AG60" i="23"/>
  <c r="AG67" i="23" s="1"/>
  <c r="AG69" i="23" s="1"/>
  <c r="AG76" i="23" s="1"/>
  <c r="AG80" i="23"/>
  <c r="AE72" i="23"/>
  <c r="AE73" i="23" s="1"/>
  <c r="AG71" i="23" l="1"/>
  <c r="AG72" i="23" s="1"/>
  <c r="AG73" i="23" s="1"/>
  <c r="AE79" i="23"/>
  <c r="AE84" i="23" s="1"/>
  <c r="AE87" i="23" l="1"/>
  <c r="AE88" i="23" s="1"/>
  <c r="AE91" i="23" s="1"/>
  <c r="AE89" i="23"/>
  <c r="AE85" i="23"/>
  <c r="AE90" i="23" s="1"/>
  <c r="AF79" i="23"/>
  <c r="AF84" i="23" l="1"/>
  <c r="AG79" i="23"/>
  <c r="AG84" i="23" s="1"/>
  <c r="AG87" i="23" s="1"/>
  <c r="AF87" i="23" l="1"/>
  <c r="AF88" i="23" s="1"/>
  <c r="AF91" i="23" s="1"/>
  <c r="AG89" i="23"/>
  <c r="AG85" i="23"/>
  <c r="AF89" i="23"/>
  <c r="AF85" i="23"/>
  <c r="AF90" i="23" s="1"/>
  <c r="AG90" i="23" l="1"/>
  <c r="AG88" i="23"/>
  <c r="AG91" i="23" s="1"/>
  <c r="G28" i="23" l="1"/>
  <c r="G29" i="23" l="1"/>
  <c r="U31" i="27" l="1"/>
  <c r="N30" i="27" l="1"/>
  <c r="U30" i="27" s="1"/>
  <c r="C49" i="7" s="1"/>
</calcChain>
</file>

<file path=xl/sharedStrings.xml><?xml version="1.0" encoding="utf-8"?>
<sst xmlns="http://schemas.openxmlformats.org/spreadsheetml/2006/main" count="2552" uniqueCount="882">
  <si>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</si>
  <si>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</si>
  <si>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</si>
  <si>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</si>
  <si>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</si>
  <si>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</si>
  <si>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</si>
  <si>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</si>
  <si>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</si>
  <si>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</si>
  <si>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</si>
  <si>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</si>
  <si>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</si>
  <si>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</si>
  <si>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</si>
  <si>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</si>
  <si>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</si>
  <si>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</si>
  <si>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</si>
  <si>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</si>
  <si>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</si>
  <si>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</si>
  <si>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</si>
  <si>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</si>
  <si>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</si>
  <si>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</si>
  <si>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</si>
  <si>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</si>
  <si>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</si>
  <si>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</si>
  <si>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</si>
  <si>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</si>
  <si>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</si>
  <si>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</si>
  <si>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</si>
  <si>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</si>
  <si>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</si>
  <si>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</si>
  <si>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</si>
  <si>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</si>
  <si>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</si>
  <si>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</si>
  <si>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</si>
  <si>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</si>
  <si>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</si>
  <si>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</si>
  <si>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</si>
  <si>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</si>
  <si>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</si>
  <si>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</si>
  <si>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</si>
  <si>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</si>
  <si>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</si>
  <si>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</si>
  <si>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</si>
  <si>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</si>
  <si>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</si>
  <si>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</si>
  <si>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</si>
  <si>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</si>
  <si>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</si>
  <si>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</si>
  <si>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</si>
  <si>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</si>
  <si>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</si>
  <si>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</si>
  <si>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</si>
  <si>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</si>
  <si>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</si>
  <si>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</si>
  <si>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</si>
  <si>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</si>
  <si>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</si>
  <si>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</si>
  <si>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</si>
  <si>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</si>
  <si>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</si>
  <si>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</si>
  <si>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</si>
  <si>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</si>
  <si>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</si>
  <si>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</si>
  <si>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</si>
  <si>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</si>
  <si>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</si>
  <si>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</si>
  <si>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</si>
  <si>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</si>
  <si>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</si>
  <si>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</si>
  <si>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</si>
  <si>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</si>
  <si>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</si>
  <si>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</si>
  <si>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</si>
  <si>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</si>
  <si>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</si>
  <si>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</si>
  <si>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</si>
  <si>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</si>
  <si>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</si>
  <si>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</si>
  <si>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</si>
  <si>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</si>
  <si>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</si>
  <si>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</si>
  <si>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</si>
  <si>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</si>
  <si>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</si>
  <si>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</si>
  <si>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</si>
  <si>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</si>
  <si>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</si>
  <si>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</si>
  <si>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</si>
  <si>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</si>
  <si>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</si>
  <si>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</si>
  <si>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</si>
  <si>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</si>
  <si>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</si>
  <si>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</si>
  <si>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</si>
  <si>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</si>
  <si>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</si>
  <si>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</si>
  <si>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</si>
  <si>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</si>
  <si>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</si>
  <si>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</si>
  <si>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</si>
  <si>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</si>
  <si>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</si>
  <si>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</si>
  <si>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</si>
  <si>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</si>
  <si>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</si>
  <si>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</si>
  <si>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</si>
  <si>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</si>
  <si>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</si>
  <si>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</si>
  <si>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</si>
  <si>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</si>
  <si>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</si>
  <si>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</si>
  <si>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</si>
  <si>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</si>
  <si>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</si>
  <si>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</si>
  <si>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</si>
  <si>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</si>
  <si>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</si>
  <si>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</si>
  <si>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</si>
  <si>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</si>
  <si>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</si>
  <si>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</si>
  <si>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</si>
  <si>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</si>
  <si>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</si>
  <si>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</si>
  <si>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</si>
  <si>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</si>
  <si>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</si>
  <si>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</si>
  <si>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</si>
  <si>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</si>
  <si>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</si>
  <si>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</si>
  <si>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</si>
  <si>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</si>
  <si>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</si>
  <si>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</si>
  <si>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</si>
  <si>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</si>
  <si>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</si>
  <si>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</si>
  <si>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</si>
  <si>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</si>
  <si>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</si>
  <si>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</si>
  <si>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</si>
  <si>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</si>
  <si>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</si>
  <si>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</si>
  <si>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</si>
  <si>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</si>
  <si>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</si>
  <si>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</si>
  <si>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</si>
  <si>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</si>
  <si>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</si>
  <si>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</si>
  <si>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</si>
  <si>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</si>
  <si>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</si>
  <si>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</si>
  <si>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</si>
  <si>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</si>
  <si>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</si>
  <si>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</si>
  <si>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</si>
  <si>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</si>
  <si>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</si>
  <si>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</si>
  <si>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</si>
  <si>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</si>
  <si>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</si>
  <si>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</si>
  <si>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</si>
  <si>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</si>
  <si>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</si>
  <si>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</si>
  <si>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</si>
  <si>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</si>
  <si>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</si>
  <si>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</si>
  <si>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</si>
  <si>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</si>
  <si>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</si>
  <si>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</si>
  <si>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</si>
  <si>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</si>
  <si>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</si>
  <si>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</si>
  <si>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</si>
  <si>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</si>
  <si>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</si>
  <si>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</si>
  <si>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</si>
  <si>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</si>
  <si>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</si>
  <si>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</si>
  <si>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</si>
  <si>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</si>
  <si>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</si>
  <si>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</si>
  <si>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</si>
  <si>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</si>
  <si>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</si>
  <si>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</si>
  <si>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</si>
  <si>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</si>
  <si>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</si>
  <si>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</si>
  <si>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</si>
  <si>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</si>
  <si>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</si>
  <si>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</si>
  <si>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</si>
  <si>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</si>
  <si>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</si>
  <si>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</si>
  <si>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</si>
  <si>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</si>
  <si>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</si>
  <si>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</si>
  <si>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</si>
  <si>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</si>
  <si>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</si>
  <si>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</si>
  <si>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</si>
  <si>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</si>
  <si>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</si>
  <si>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</si>
  <si>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</si>
  <si>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</si>
  <si>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</si>
  <si>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</si>
  <si>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</si>
  <si>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</si>
  <si>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</si>
  <si>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</si>
  <si>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</si>
  <si>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</si>
  <si>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</si>
  <si>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</si>
  <si>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</si>
  <si>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</si>
  <si>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</si>
  <si>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</si>
  <si>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</si>
  <si>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</si>
  <si>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</si>
  <si>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</si>
  <si>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</si>
  <si>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</si>
  <si>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</si>
  <si>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</si>
  <si>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</si>
  <si>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</si>
  <si>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</si>
  <si>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</si>
  <si>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</si>
  <si>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</si>
  <si>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</si>
  <si>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</si>
  <si>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</si>
  <si>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</si>
  <si>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</si>
  <si>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</si>
  <si>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</si>
  <si>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</si>
  <si>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</si>
  <si>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</si>
  <si>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</si>
  <si>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</si>
  <si>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</si>
  <si>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</si>
  <si>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</si>
  <si>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</si>
  <si>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</si>
  <si>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</si>
  <si>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</si>
  <si>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</si>
  <si>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</si>
  <si>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</si>
  <si>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</si>
  <si>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</si>
  <si>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</si>
  <si>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</si>
  <si>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</si>
  <si>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</si>
  <si>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</si>
  <si>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</si>
  <si>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</si>
  <si>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</si>
  <si>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</si>
  <si>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</si>
  <si>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</si>
  <si>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</si>
  <si>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</si>
  <si>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</si>
  <si>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</si>
  <si>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</si>
  <si>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</si>
  <si>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</si>
  <si>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</si>
  <si>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</si>
  <si>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</si>
  <si>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</si>
  <si>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</si>
  <si>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</si>
  <si>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</si>
  <si>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</si>
  <si>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</si>
  <si>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</si>
  <si>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</si>
  <si>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</si>
  <si>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</si>
  <si>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</si>
  <si>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</si>
  <si>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</si>
  <si>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</si>
  <si>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</si>
  <si>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</si>
  <si>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</si>
  <si>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</si>
  <si>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</si>
  <si>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</si>
  <si>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</si>
  <si>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</si>
  <si>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</si>
  <si>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</si>
  <si>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</si>
  <si>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</si>
  <si>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</si>
  <si>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</si>
  <si>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</si>
  <si>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</si>
  <si>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</si>
  <si>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</si>
  <si>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</si>
  <si>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</si>
  <si>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</si>
  <si>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</si>
  <si>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</si>
  <si>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</si>
  <si>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</si>
  <si>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</si>
  <si>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</si>
  <si>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</si>
  <si>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</si>
  <si>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</si>
  <si>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</si>
  <si>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</si>
  <si>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</si>
  <si>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</si>
  <si>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</si>
  <si>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</si>
  <si>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</si>
  <si>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</si>
  <si>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</si>
  <si>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</si>
  <si>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</si>
  <si>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</si>
  <si>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</si>
  <si>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</si>
  <si>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</si>
  <si>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</si>
  <si>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</si>
  <si>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Техническое перевооружение и реконструкция</t>
  </si>
  <si>
    <t>ТП-54 - Коммунальная 56-68,67-117</t>
  </si>
  <si>
    <t>СП-78 - Красная 64-51</t>
  </si>
  <si>
    <t>СП-121 - СП-12</t>
  </si>
  <si>
    <t>СП-61 - Яналова 33-35 - СП-78</t>
  </si>
  <si>
    <t>СП-1339 - К. Маркса 30-38</t>
  </si>
  <si>
    <t>СП-21 - Красная,43-41,К.Маркса,50 - СП-64</t>
  </si>
  <si>
    <t>ТП-535 - Яналова,17-23, Чернышевского  35,35аб</t>
  </si>
  <si>
    <t>СП-21 - Красная 50-56</t>
  </si>
  <si>
    <t>ТП-101 - Ермака 7,1 / СП-239</t>
  </si>
  <si>
    <t>СП-294 - В.Котик,12,9-15 - СП-293</t>
  </si>
  <si>
    <t>СП-13 - Щорса, 8-4, 7,5</t>
  </si>
  <si>
    <t>ТП-98 - Советский пр.65-57, Курганская,4-6</t>
  </si>
  <si>
    <t xml:space="preserve">СП-121 - СП-59 </t>
  </si>
  <si>
    <t>ТП-54 - Коммунальная 54/СП-293/СП-18</t>
  </si>
  <si>
    <t>СП-12 - Родител.15,13,10-6 ,Щорса 18</t>
  </si>
  <si>
    <t>ТП-98 - Советский пр. 76-80</t>
  </si>
  <si>
    <t>ТП-55 - Кропоткина 3-9, Яналова 37-47</t>
  </si>
  <si>
    <t>СП-21 - Чернышевского,17-25,31</t>
  </si>
  <si>
    <t xml:space="preserve">ТП-578 - Чекистов 103-93 / СП-11 </t>
  </si>
  <si>
    <t>ТП-505 - Яналова 15</t>
  </si>
  <si>
    <t>СП-59 - СП-13</t>
  </si>
  <si>
    <t>ТП-55 - Банковская 4,2 - ТП-54</t>
  </si>
  <si>
    <t>ТП-106 - Борзова 48-40,38-26,41-39</t>
  </si>
  <si>
    <t>СП-206 - Каштановая ал.158-164</t>
  </si>
  <si>
    <t>ТП-519 - СП-59</t>
  </si>
  <si>
    <t>ТП-54 - СП-85   Банковская 17</t>
  </si>
  <si>
    <t>РП-6 - Яналова 12-6</t>
  </si>
  <si>
    <t>СП-11 - Чекистов  105 - 107,  113-119 - СП-206</t>
  </si>
  <si>
    <t>СП-205 - Борзова 91-69, Авторемонтная,29-27</t>
  </si>
  <si>
    <t>СП-350 - Комсомольская,112-108,109-107 - СП-71</t>
  </si>
  <si>
    <t>ТП-555 - Спортивная 20-22,1-7</t>
  </si>
  <si>
    <t>СП-116 - Чайковского 66-64</t>
  </si>
  <si>
    <t>ТП-55 - Банковская 15-1</t>
  </si>
  <si>
    <t>СП-1301 - Леонова 61-71</t>
  </si>
  <si>
    <t>СП-1301 - Леонова,61,а-б, Молочинская, 5-15</t>
  </si>
  <si>
    <t>СП-44 - Чернышевского 32 - СП-21</t>
  </si>
  <si>
    <t>СП-294 - Маяковская.9 - СП-44</t>
  </si>
  <si>
    <t>ТП-55 - Кропоткина 6-2</t>
  </si>
  <si>
    <t>СП-66 - Комсомольск.53-53а-55</t>
  </si>
  <si>
    <t>СП-239 - Комсомольская 2</t>
  </si>
  <si>
    <t xml:space="preserve">СП-85 - Банковская 17 </t>
  </si>
  <si>
    <t>до 1945</t>
  </si>
  <si>
    <t>3*70</t>
  </si>
  <si>
    <t>3*95</t>
  </si>
  <si>
    <t>3*50</t>
  </si>
  <si>
    <t>3*35</t>
  </si>
  <si>
    <t>3*185 3*70</t>
  </si>
  <si>
    <t>3*50/3*35</t>
  </si>
  <si>
    <t>3*70/3*50</t>
  </si>
  <si>
    <t>3*50 3*35</t>
  </si>
  <si>
    <t>3*50 3*70</t>
  </si>
  <si>
    <t>3х50</t>
  </si>
  <si>
    <t>3*120</t>
  </si>
  <si>
    <t>3*35 3*50</t>
  </si>
  <si>
    <t>3*35/3*50</t>
  </si>
  <si>
    <t>3*120/3*95</t>
  </si>
  <si>
    <t>3*35  3*120</t>
  </si>
  <si>
    <t>4*35</t>
  </si>
  <si>
    <t>4х120</t>
  </si>
  <si>
    <t>КЛ</t>
  </si>
  <si>
    <t>в земле</t>
  </si>
  <si>
    <t>ТП-553 - ВЛ Борзова 60-64</t>
  </si>
  <si>
    <t>AsXSn 2х25</t>
  </si>
  <si>
    <t>ВЛ</t>
  </si>
  <si>
    <t>дерево</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</si>
  <si>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</si>
  <si>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</si>
  <si>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</si>
  <si>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</si>
  <si>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</si>
  <si>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</si>
  <si>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</si>
  <si>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</si>
  <si>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</si>
  <si>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</si>
  <si>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</si>
  <si>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</si>
  <si>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</si>
  <si>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</si>
  <si>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</si>
  <si>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</si>
  <si>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</si>
  <si>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</si>
  <si>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</si>
  <si>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</si>
  <si>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</si>
  <si>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</si>
  <si>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</si>
  <si>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</si>
  <si>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</si>
  <si>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</si>
  <si>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</si>
  <si>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</si>
  <si>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</si>
  <si>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</si>
  <si>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</si>
  <si>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</si>
  <si>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</si>
  <si>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</si>
  <si>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</si>
  <si>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</si>
  <si>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</si>
  <si>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</si>
  <si>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</si>
  <si>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</si>
  <si>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</si>
  <si>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</si>
  <si>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</si>
  <si>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</si>
  <si>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</si>
  <si>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</si>
  <si>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</si>
  <si>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</si>
  <si>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</si>
  <si>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</si>
  <si>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</si>
  <si>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</si>
  <si>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</si>
  <si>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</si>
  <si>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</si>
  <si>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</si>
  <si>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</si>
  <si>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</si>
  <si>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</si>
  <si>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</si>
  <si>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</si>
  <si>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Реконструкция линий электропередачи</t>
  </si>
  <si>
    <t xml:space="preserve">NPV через 10 лет, руб. </t>
  </si>
  <si>
    <t>да</t>
  </si>
  <si>
    <t>Предложения по корректирующим мероприятиям по устранению отставания</t>
  </si>
  <si>
    <t>Цели (указать укрупненные цели в соответствии с приложением 1)</t>
  </si>
  <si>
    <t>не относится</t>
  </si>
  <si>
    <t>нет</t>
  </si>
  <si>
    <t>нд</t>
  </si>
  <si>
    <t>Городской округ "Город Калининград"</t>
  </si>
  <si>
    <t>ЛЭП 0,4 кВ - 3,36 млн рублей/км
ТП 6-10 кВ - 1,38 млн рублей/МВА</t>
  </si>
  <si>
    <t>Стоимость по результатам проведенных закупок с НДС, млн рублей</t>
  </si>
  <si>
    <t>4х120
4х50
4х35</t>
  </si>
  <si>
    <t>ТП-122 - Чкалова 1,3,5,2,12,12а,14 -СП-41</t>
  </si>
  <si>
    <t>ТП-555 - СП - ул. Чкалова д. 12, 12а, 14</t>
  </si>
  <si>
    <t>4х120,4х35</t>
  </si>
  <si>
    <t>ТП-555 - СП - ул. Чкалова д. 5, 3, 1</t>
  </si>
  <si>
    <t>СП - СП-41</t>
  </si>
  <si>
    <t>ТП-103 - пер.Зоологический, 1-9, Леонова, 10,12</t>
  </si>
  <si>
    <t xml:space="preserve">ТП-103 - СП - СП - ул. Леонова 10, пер. Зоологический 6-8, 10-12 </t>
  </si>
  <si>
    <t xml:space="preserve">СП - СП - пер. Зоологический 1-3, 5, 7, 9 </t>
  </si>
  <si>
    <t>СП - СП - ул. Косм. Пацаева 4, 6, 5-7, 6а, 8</t>
  </si>
  <si>
    <t xml:space="preserve">ТП-73 -К. Леонова 27,27а, Пацаева  -  СП-29 </t>
  </si>
  <si>
    <t>4х240, 4х25, 
4х35, 4х50</t>
  </si>
  <si>
    <t>4х120, 4х50,
4х35</t>
  </si>
  <si>
    <t>4х150, 
4х70,4х35</t>
  </si>
  <si>
    <t>СП-239 -Комсомольская 3, 6, 14-14а</t>
  </si>
  <si>
    <t>РЩ - ул. Комсомольская 3, 6</t>
  </si>
  <si>
    <t>4х70, 4х35</t>
  </si>
  <si>
    <t>4х70, 4х50</t>
  </si>
  <si>
    <t xml:space="preserve">РЩ - ул. Комсомольская 2а, 2/пр. Мира 74-76 </t>
  </si>
  <si>
    <t>ТП-101 - пр.Мира 78,80,80а ТП-101</t>
  </si>
  <si>
    <t>4х185,
4х150,
4х70,4х50,
4х35</t>
  </si>
  <si>
    <t>СП-357 - Комсомольская 14, 14а</t>
  </si>
  <si>
    <t>4х35</t>
  </si>
  <si>
    <t>СП-219 - ул. Леонова 12-12а</t>
  </si>
  <si>
    <t>СП-125 - СП-116 К-1</t>
  </si>
  <si>
    <t>СП-125 - СП-116 К-2</t>
  </si>
  <si>
    <t>4х240</t>
  </si>
  <si>
    <t>СП-116 - К.Маркса 32-30</t>
  </si>
  <si>
    <t>СП-29 - Комсомольская 26</t>
  </si>
  <si>
    <t>СП-1384 - Комсомольская 26</t>
  </si>
  <si>
    <t xml:space="preserve">СП-116 - Леон.37-33,К.Маркса,5-11 - СП-116 </t>
  </si>
  <si>
    <t>РП-6 - СП-52</t>
  </si>
  <si>
    <t xml:space="preserve">СП-52 - Леон.37-33,К.Маркса,5-11 - СП-116 </t>
  </si>
  <si>
    <t>ТП-73 - К. Леонова 27,27а, Пацаева - СП-29</t>
  </si>
  <si>
    <t>4х120,
4х25</t>
  </si>
  <si>
    <t>ТП-553 -  ул. Борзова 60-64</t>
  </si>
  <si>
    <t>4х70</t>
  </si>
  <si>
    <t>ТП-553 - СП-205</t>
  </si>
  <si>
    <t>4х240,
4х120</t>
  </si>
  <si>
    <t>4х50</t>
  </si>
  <si>
    <t>4х50,4х25</t>
  </si>
  <si>
    <t>4х240,
4х50,4х35</t>
  </si>
  <si>
    <t>4х240,
4х35</t>
  </si>
  <si>
    <t>СП-205 - ул. М. Борзова 87-93</t>
  </si>
  <si>
    <t>4х120, 4х35</t>
  </si>
  <si>
    <t>4х240,
4х120,
4х35</t>
  </si>
  <si>
    <t>СП-211 - СП-206</t>
  </si>
  <si>
    <t>4х240,
4х25</t>
  </si>
  <si>
    <t>4х240,
4х50,4х35,
4х25</t>
  </si>
  <si>
    <t>4х25,4х35</t>
  </si>
  <si>
    <t>4х240,
4х35,4х25</t>
  </si>
  <si>
    <t>4х25</t>
  </si>
  <si>
    <t>ТП-578 - Чекистов 79-61 - СП-12</t>
  </si>
  <si>
    <t>3*50+1*25</t>
  </si>
  <si>
    <t>ТП-105 - СП-121</t>
  </si>
  <si>
    <t>3*185</t>
  </si>
  <si>
    <t>ТП-57 - СП-121 угол Чекистов-Родител.</t>
  </si>
  <si>
    <t>ТП-57 - СП-12 - ул. Родителева 25-31</t>
  </si>
  <si>
    <t>ТП-57 - ул. Чекистов 49</t>
  </si>
  <si>
    <t>ТП-57 - ул. Красная 89, 91</t>
  </si>
  <si>
    <t xml:space="preserve">3*50/3*70    </t>
  </si>
  <si>
    <t>4х240,
4х50</t>
  </si>
  <si>
    <t>4х50,4х35</t>
  </si>
  <si>
    <t>ТП-519 - СП-78, К-2</t>
  </si>
  <si>
    <t>ТП-519 - СП-78, К-1</t>
  </si>
  <si>
    <t>4х35,4х50</t>
  </si>
  <si>
    <t>ТП-505 - Яналова 17</t>
  </si>
  <si>
    <t>ТП-505 - СП 0,4/0,23 - ул. Щорса 6, 4-4б, 5, 7, 9, 6а</t>
  </si>
  <si>
    <t>4х185,
4х50,4х35</t>
  </si>
  <si>
    <t>ТП-505 - Комсомольская 66-68</t>
  </si>
  <si>
    <t>ТП-505 - СП - ул. Комсомольская 66, 66а, 68, 70, 72</t>
  </si>
  <si>
    <t>ТП-535- Яналова 17, Чернышевского 16</t>
  </si>
  <si>
    <t>ТП-535 - ул. Чернышевского 16</t>
  </si>
  <si>
    <t>4х150,
4х70</t>
  </si>
  <si>
    <t xml:space="preserve">СП-116 - Комсом47,46-52 - СП-66 </t>
  </si>
  <si>
    <t>4х35,4х70</t>
  </si>
  <si>
    <t>4х120,
4х50,4х35</t>
  </si>
  <si>
    <t>4х185, 
4х50,4х35</t>
  </si>
  <si>
    <t>СП-61 - Маяковского 8-16 - СП-44</t>
  </si>
  <si>
    <t>4х95,4х35,
4х50</t>
  </si>
  <si>
    <t>4х120
4х35</t>
  </si>
  <si>
    <t>4х95,4х35</t>
  </si>
  <si>
    <t>4х240,
4х95,4х70</t>
  </si>
  <si>
    <t>СП 0,4/0,23 - ул. Леонова 63-65, 65а-67, 69-71</t>
  </si>
  <si>
    <t>4х50,4х95</t>
  </si>
  <si>
    <t>СП-244 - К.Маркса 8(ф-0)</t>
  </si>
  <si>
    <t>СП-1372 - ВЛ Каштановая Ал.,185</t>
  </si>
  <si>
    <t>СП-1410 - ул. Каштановая аллея, 179</t>
  </si>
  <si>
    <t>3*50
AsXSn 2*25</t>
  </si>
  <si>
    <t>в воздухе</t>
  </si>
  <si>
    <t>1,6 МВт</t>
  </si>
  <si>
    <t>Среднее значение для расчета</t>
  </si>
  <si>
    <t>КЛ 0,23 кВ ТП-505 --Яналова,15</t>
  </si>
  <si>
    <t>345863 1804160715025</t>
  </si>
  <si>
    <t>старение изоляции (монтаж до 1945 года)</t>
  </si>
  <si>
    <t>КЛ 0,23 кВ СП-104 - Каштановая ал., ТП-51</t>
  </si>
  <si>
    <t>345863 0905161820031</t>
  </si>
  <si>
    <t>КЛ 0,4 кВ СП-3 - Захарова, дд. 7-9</t>
  </si>
  <si>
    <t>345863 0906160505042</t>
  </si>
  <si>
    <t>КЛ 0,23 кВ ТП-73 - К. Леонова 27, 27а, Пацаева, СП-29</t>
  </si>
  <si>
    <t>345863 0708171116039</t>
  </si>
  <si>
    <t>КЛ 0,23 кВ ТП-555 - Спортивная, 20-22, 1-7</t>
  </si>
  <si>
    <t>345863 2406181928024</t>
  </si>
  <si>
    <t>4х240,
4х120,
4х50, 4х35</t>
  </si>
  <si>
    <t>4х120,
4х35</t>
  </si>
  <si>
    <t>4х240,
4х150,
4х70,
4х35</t>
  </si>
  <si>
    <t>ТП-98 - Советский пр-т 65</t>
  </si>
  <si>
    <t>3*50/4*35</t>
  </si>
  <si>
    <t>4х150,
4х50</t>
  </si>
  <si>
    <t>ТП-98 - Советский пр-т 76-78, 80</t>
  </si>
  <si>
    <t>4х70,4х95</t>
  </si>
  <si>
    <t>СП-1070 - ул. Курганская 4-6</t>
  </si>
  <si>
    <t>СП-203 - Захарова 34-32,30-28 - СП-3</t>
  </si>
  <si>
    <t>СП-203 - СП-3, ул. Л. Захарова 28-30, 32-34</t>
  </si>
  <si>
    <t>3*95/3*120</t>
  </si>
  <si>
    <t>СП-3 - Захарова 15-17,Захарова,9-3</t>
  </si>
  <si>
    <t>СП-3 - Авторемонтная 19-13,СП-11</t>
  </si>
  <si>
    <t>СП-3 - ул. Л. Захарова 3-5, 7-9, 15-17, ул. Авторемонтная 13-15, 17-19</t>
  </si>
  <si>
    <t>3*95/3*6</t>
  </si>
  <si>
    <t>3*70/4*50/4*16</t>
  </si>
  <si>
    <t>4х70,4х50,
4х35</t>
  </si>
  <si>
    <t xml:space="preserve">СП-53 - ул. Дунайская, 13-19 </t>
  </si>
  <si>
    <t>СП-53 -ул. Дунайская 9-11</t>
  </si>
  <si>
    <t>3*70/4*50</t>
  </si>
  <si>
    <t>Т1</t>
  </si>
  <si>
    <t>ТП-555</t>
  </si>
  <si>
    <t>Т2</t>
  </si>
  <si>
    <t>ТП-578</t>
  </si>
  <si>
    <t>ТП-57</t>
  </si>
  <si>
    <t>ТП-537</t>
  </si>
  <si>
    <t>ТП-112</t>
  </si>
  <si>
    <t>ТП-54</t>
  </si>
  <si>
    <t>ТП-519</t>
  </si>
  <si>
    <t>ТМ 
10/0,23</t>
  </si>
  <si>
    <t>ТМГ - 11
10/0,4</t>
  </si>
  <si>
    <t>ТМ
10/0,4</t>
  </si>
  <si>
    <t>ТМГ
10/0,4</t>
  </si>
  <si>
    <t>ТМ
10/0,23</t>
  </si>
  <si>
    <t>Трансформатор силовой масляный ТМГ - 7 шт. суммарной мощностью 1,96 МВА</t>
  </si>
  <si>
    <t>Мероприятие реализуется в течение 2 (двух) лет, этапность определена в соответствии с месторасположением сетевых объектов (по улицам).</t>
  </si>
  <si>
    <t xml:space="preserve">Перевод сетей  напряжением 0,23 кВ на напряжения  0,4 кВ. 
Повышение надежности оказываемых услуг в сфере электроэнергетики. </t>
  </si>
  <si>
    <t>Утверждение проектной документации</t>
  </si>
  <si>
    <t>L_19-1035</t>
  </si>
  <si>
    <t>Акт технического обследования АО "Янтарьэнерго" от 14.10.2019</t>
  </si>
  <si>
    <t>Требуется проведение комплексной реконструкции с переводом сетей на напряжение 0,4 кВ и заменой на кабельную продукцию необходимого сечения, соответствующие требованиям действующих НТД и обеспечивающие возможность дальнейшего развития сети</t>
  </si>
  <si>
    <t>1. Снижение уровня аварийности DПsaidi=-0,00001105, DПsaifi=-0,00000207.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Замена оборудования, выработавшего ресурс.
4. Приведение параметров качества электрической энергии требованиям ГОСТ 32144-2013.</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</si>
  <si>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t>
  </si>
  <si>
    <t>В cоответствии с п.21 раздела IV Приказа МинЭнергетики РФ от 14.03.2016 №177 данный показатель ТСО не_рассчитывается</t>
  </si>
  <si>
    <t>2021 год</t>
  </si>
  <si>
    <t>2022 год</t>
  </si>
  <si>
    <t>2023 год</t>
  </si>
  <si>
    <t xml:space="preserve"> по состоянию на 01.01.2020</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</si>
  <si>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</si>
  <si>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</si>
  <si>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</si>
  <si>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</si>
  <si>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</si>
  <si>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</si>
  <si>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</si>
  <si>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[юридическое лицо, вид услуг/ подряда, предмет договора, дата заключения/ расторжения и номер договора/ соглашений к договору]</t>
  </si>
  <si>
    <t>АО "Янтарьэнерго"/ ДУКИП</t>
  </si>
  <si>
    <t>ПИР</t>
  </si>
  <si>
    <t>УР</t>
  </si>
  <si>
    <t>ВЗ</t>
  </si>
  <si>
    <t>ЗП</t>
  </si>
  <si>
    <t>"ПИК "РЕЗОНАНС" ООО</t>
  </si>
  <si>
    <t>1з</t>
  </si>
  <si>
    <t>32008962511</t>
  </si>
  <si>
    <t xml:space="preserve">https://rosseti.roseltorg.ru/ </t>
  </si>
  <si>
    <t>20.05.2020</t>
  </si>
  <si>
    <t>"ЭСИСТЭК" ООО</t>
  </si>
  <si>
    <t xml:space="preserve">Разработка проектно-сметной и рабочей документации по титулу: "Перевод потребителей с напряжения 0,23 кВ на 0,4 кВ в городе Калининграде " </t>
  </si>
  <si>
    <t xml:space="preserve">ПИР ООО "ПИК-Резонанс" договор № 32008962511 от 20.05.2020 (ДС № 1 от 27.08.2020, ДС № 2 от 17.12.2020; ДС № 3 от 22.12.2020; ДС № 4 от 30.12.2020) </t>
  </si>
  <si>
    <t>ДС № 1 от 27.08.2020, ДС № 2 от 17.12.2020; ДС № 3 от 22.12.2020; ДС № 4 от 30.12.2020</t>
  </si>
  <si>
    <t>ПИР ООО "ПИК-Резонанс" договор № 32008962511 от 20.05.2020 (ДС № 1 от 27.08.2020, ДС № 2 от 17.12.2020; ДС № 3 от 22.12.2020; ДС № 4 от 30.12.2020) в ценах 2020 года без НДС, млн рублей</t>
  </si>
  <si>
    <t>C</t>
  </si>
  <si>
    <t>ПСД, утв. Приказом 97 от 22.03.2021</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</si>
  <si>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</si>
  <si>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2022-2023</t>
  </si>
  <si>
    <t>ТП-555 - СП-1 - ул. Чкалова д. 12, 12а, 14</t>
  </si>
  <si>
    <t>ТП-555 - СП-2 - ул. Чкалова д. 5, 3, 1</t>
  </si>
  <si>
    <t>СП-2 - СП-41</t>
  </si>
  <si>
    <t xml:space="preserve">ТП-103 - СП 1 - СП 2 - ул. Леонова 10, пер. Зоологический 6-8, 10-12 </t>
  </si>
  <si>
    <t xml:space="preserve">СП 2 - СП 3 - пер. Зоологический 1-3, 5, 7, 9 </t>
  </si>
  <si>
    <t>СП 1 - СП 4 - ул. Косм. Пацаева 4, 6, 5-7, 6а, 8</t>
  </si>
  <si>
    <t>СП-239 - РЩ - РЩ-1 - ул. Ермака, 2</t>
  </si>
  <si>
    <t>РЩ - СП-1 - пр. Мира 78, 80, 80а, соед. муфта</t>
  </si>
  <si>
    <t>ТП-59 - СП-0 - СП-116</t>
  </si>
  <si>
    <t>СП-116 - СП-1 - ул. К. Маркса 30, 32</t>
  </si>
  <si>
    <t>СП-2 - СП-64</t>
  </si>
  <si>
    <t>СП-1 - К. Маркса 34, 36 ,38</t>
  </si>
  <si>
    <t>СП-1 - СП-1339 - СП-2</t>
  </si>
  <si>
    <t>СП-2 - ул. К. Маркса 27, 25, 23</t>
  </si>
  <si>
    <t>ТП-517 - ЯРП-250</t>
  </si>
  <si>
    <t>4х150</t>
  </si>
  <si>
    <r>
      <t xml:space="preserve">ТП-517 - СП-172 - </t>
    </r>
    <r>
      <rPr>
        <sz val="11"/>
        <color theme="1"/>
        <rFont val="Times New Roman"/>
        <family val="1"/>
        <charset val="204"/>
      </rPr>
      <t>соед.муфта, соед. муфта, соед. муфта</t>
    </r>
  </si>
  <si>
    <t>4х240, 4х35, 4х50, 4х150</t>
  </si>
  <si>
    <r>
      <t>СП-172 - СП-1  - ул. К. Маркса 16, 5-11, 3/ул. Леонова 33-37,</t>
    </r>
    <r>
      <rPr>
        <sz val="11"/>
        <color theme="1"/>
        <rFont val="Times New Roman"/>
        <family val="1"/>
        <charset val="204"/>
      </rPr>
      <t xml:space="preserve"> светофор </t>
    </r>
  </si>
  <si>
    <t>4х240,
4х50,4х70,
4х95</t>
  </si>
  <si>
    <t>ТП-517 - СП-2 - ул. Косм. Леонова 20 , 27, 27а</t>
  </si>
  <si>
    <t>4х240, 
4х70,
4х25</t>
  </si>
  <si>
    <t>СП-2 - СП-3 - ул. Чайковского 64, 66</t>
  </si>
  <si>
    <t>ТП-103 - ТП-73</t>
  </si>
  <si>
    <t>соед. муфта (ТП-103) - РП-6</t>
  </si>
  <si>
    <t>АПВПу2Г 10 кВ 3(1х120(25))</t>
  </si>
  <si>
    <t>ТП-517 - ТП-73</t>
  </si>
  <si>
    <t>соед. муфта (ТП-517) - соед. муфта (РП-6)</t>
  </si>
  <si>
    <t>АСБ 10 кВ 3х70</t>
  </si>
  <si>
    <t>ТП-553 - СП-1 - СП-205</t>
  </si>
  <si>
    <t>СП-1 - ул. М. Борзова 79-85</t>
  </si>
  <si>
    <t>СП-1 - ЩВУ  - ул. М. Борзова 75, 77</t>
  </si>
  <si>
    <t>СП-1 - СП-2 - ул. М, Борзова 67, 71-73-</t>
  </si>
  <si>
    <t>СП-2 - СП-3 - ул. Авторемонтная 23-25, 27-29</t>
  </si>
  <si>
    <t>ТП-106 - СП-1 0,4/0,23 - ул. М. Борзова 24, 26</t>
  </si>
  <si>
    <t>СП-1 0,4/0,23 - СП 2 - ул. М. Борзова 28, 30, 32, 34, 36, 38, соед. Муфта №1 - СП-6 - ул. М. Борзова, 40, 42, 44, 46, 48</t>
  </si>
  <si>
    <t>4х120,
4х35,4х50, 4х240</t>
  </si>
  <si>
    <t>СП-1 0,4/0,23 - СП-3 - ул. М. Борзова 12, 14, 16, 18, 20, 22</t>
  </si>
  <si>
    <t>СП 0,4/0,23 - СП-4 - СП-1007, ул. М. Борзова 2, 4, 6, 8, 10, соед. Муфта №2</t>
  </si>
  <si>
    <t>СП-1 0,4/0,23 - СП-5 - ул. М. Борзова 39-41, ул. Комсомольская 107, 109-111, 108-112</t>
  </si>
  <si>
    <t>4х95,
4х50, 4х70</t>
  </si>
  <si>
    <t>ТП-511 - СП-1</t>
  </si>
  <si>
    <t>СП-1 - ул. Чекистов 113-115, 117-119, 121-123, 125-127, 129-131</t>
  </si>
  <si>
    <t>СП-1 - СП-3 - СП-4, ул. Чекистов 133-135, 137-139</t>
  </si>
  <si>
    <t>СП-1 - СП-2- ул. Чекистов 105-107, 101-103, 97-99, 93-95, магазин, СП (сущ.)</t>
  </si>
  <si>
    <t>СП-4 - ул. Каштановая ал.158-160, 162-164</t>
  </si>
  <si>
    <t>ТП-578 - СП-1 - ул. Чекистов 61-63, 
65-67, 69-71, 73-75, 77-79</t>
  </si>
  <si>
    <t>ТП-57 - СП-4 - ул. Мл. л-та Родителева 31, 29, 25</t>
  </si>
  <si>
    <t>СП-143 - СП-3 0,4/0,23 - ул. Мл. л-та Родителева 6, 8-10, 9, 13, 15, СП</t>
  </si>
  <si>
    <t>СП-143 - СП-2 0,4/0,23 - СП, ул. Красная 90, 88, 80-86, 73-75, 77, 79, 81, 83</t>
  </si>
  <si>
    <t>СП-143 - СП-1 0,4/0,23 - СП-5, ул. Красная 104-108, 110-114, 116-122</t>
  </si>
  <si>
    <t>СП-5 - ул. Красная 107, 124-126, 128-130, ул. Вернадского 1</t>
  </si>
  <si>
    <t>ТП-519 - СП-1 0,4/0,23</t>
  </si>
  <si>
    <t>СП-1 0,4/0,23 - ул. Яналова 35-35а, 33/ул. Красная 61</t>
  </si>
  <si>
    <t>СП-1 0,4/0,23 - ул.Красная 64, 58-62, 57-59, 55</t>
  </si>
  <si>
    <t>ТП-519 - СП-2 0,4/0,23</t>
  </si>
  <si>
    <t>СП-2 0,4/0,23 - ул. Щорса 10, 12, 17-19, ул. Красная 70</t>
  </si>
  <si>
    <t>СП-2 0,4/0,23 - ул. Красная 71, 69, 63-67, 76-78, ул. Щорса 16-16а</t>
  </si>
  <si>
    <t>СП-2 0,4/0,23 - СП-3 - ул. Мл. л-та Родителева 4, 5, ул. Щорса 18</t>
  </si>
  <si>
    <t>4х25,
4х35</t>
  </si>
  <si>
    <t>СП-1 - ул. Л. Яналова 10, 6, 4</t>
  </si>
  <si>
    <t>ТП-505 - СП-2 0,4/0,23 - ул. Щорса 6, 4-4б, 5, 7, 9, 6а</t>
  </si>
  <si>
    <t>ТП-505 - СП-1 - ул. Комсомольская 66, 66а, 68, 70, 72</t>
  </si>
  <si>
    <t>ТП-535 - СП-1 - ул. Комсомольская 53-55</t>
  </si>
  <si>
    <t>СП-1 - ул. Комсомольская 47, 46-52</t>
  </si>
  <si>
    <t>ТП-535 - СП-2 0,4/0,23 - ул. Красная 50-52, 54-56</t>
  </si>
  <si>
    <t>СП-2 0,4/0,23 - ул. Красная 47, 49, 51-53, ул. Чернышевского 30-32, СП</t>
  </si>
  <si>
    <t>4х50, 4х35, 4х240</t>
  </si>
  <si>
    <t>СП-2 0,4/0,23 - СП-3 - ул. Чернышевского 17-19, 21, 23, 25, ул. Красная 43, 45</t>
  </si>
  <si>
    <t>СП-1014 - СП 0,4/0,23 - ул. Спортивная 1, 3, 5, 7, 20, 22</t>
  </si>
  <si>
    <t>ТП-537 - СП-1 0,4/0,23 - ул. В. Котика 1-5, СП-3</t>
  </si>
  <si>
    <t>СП-3 - СП-293, ул В. Котика 7-11, 13-17, 12</t>
  </si>
  <si>
    <t>СП-1 0,4/0,23 - СП-2, ул. Маяковского 7, 9-11</t>
  </si>
  <si>
    <t>СП-2 - ул. Маяковского 1, 3, 5</t>
  </si>
  <si>
    <t>СП-1 0,4/0,23 - СП-4 - ул. Маяковского 2, 4, 6, 8, 10</t>
  </si>
  <si>
    <t>СП-1 0,4/0,23 - СП-5 - ул. Маяковского 12, 14, 16, 18</t>
  </si>
  <si>
    <t>ТП-112 - СП 0,4/0,23 - ул. Леонова 59-61а, 61б-61г, ул. Молочинского 5-7</t>
  </si>
  <si>
    <t>ТП-54 - СП-1 0,4/0,23 - Школа №1, котельная школы №1, СП-4, СП-5, СП-6, СП-7, ул. Банковская 15</t>
  </si>
  <si>
    <t>СП-5 - ул. Банковская 3, 5, 7, 9, 11, 13</t>
  </si>
  <si>
    <t>СП-6 - ул. Банковская 1, 1а</t>
  </si>
  <si>
    <t>СП-7 - СП-8, ул. Кропоткина 5, 7, 9</t>
  </si>
  <si>
    <t>СП-8 - ул. Л. Яналова 37, 39, 41, 43, 45, 47</t>
  </si>
  <si>
    <t>СП-4 0,4/0,23 - СП, ул. Кропоткина 2, 4, 6</t>
  </si>
  <si>
    <t>ТП-54 - СП-2 0,4/0,23 - СП-11 - ул. Коммунальная 45-49, 51-53, 55-57, 59, 61-63, СП-293</t>
  </si>
  <si>
    <t>СП-2 0,4/0,23 - СП-12 - ул. Банковская 17-19, 21-23, ул. Чернышевского, 14</t>
  </si>
  <si>
    <t>СП-12 - СП-13 - ул. Чернышевского 6, 8, 10</t>
  </si>
  <si>
    <t>ТП-54- СП-3 0,4/0,23 - СП-10, ул. Коммунальная 62, 64, 66, 68, 67-93, 95-105</t>
  </si>
  <si>
    <t>СП-10 - ул. Коммунальная 107, 109, 111, 113, 115, 117</t>
  </si>
  <si>
    <t>СП 0,4/0,23 - СП-9 - ул. Банковская 2, 4; ул. Кропоткина 1; ул. Коммунальная 56, 58, 60</t>
  </si>
  <si>
    <t>ТП-98 - СП-1 - Советский пр-т 57, 61, 63</t>
  </si>
  <si>
    <t>СП-244 - ул. К. Маркса 8</t>
  </si>
  <si>
    <t>СП-1393 - СП-1 - ул. Дунайская 13-15, 17-19, СП-53</t>
  </si>
  <si>
    <r>
      <t xml:space="preserve">Реконструкция 28,734 км КЛ 0,23 кВ с переводом на напряжение  0,4 кВ с приростом </t>
    </r>
    <r>
      <rPr>
        <sz val="12"/>
        <color theme="1"/>
        <rFont val="Times New Roman"/>
        <family val="1"/>
        <charset val="204"/>
      </rPr>
      <t xml:space="preserve">9,828 </t>
    </r>
    <r>
      <rPr>
        <sz val="12"/>
        <rFont val="Times New Roman"/>
        <family val="1"/>
        <charset val="204"/>
      </rPr>
      <t>км;
Реконструкция 7 ТП 10/0,23 кВ с заменой 7 силовых трансформаторов 10/0,23 кВ на 
тр-ры 10/0,4 кВ;.
Установка 17 соединительных пунктов в бетонном корпусе с сухим трансформатором 0,4/0,23кВ.
Установка 55 соединительных пунктов в пластиковом корпусе.</t>
    </r>
  </si>
  <si>
    <r>
      <t>∆P</t>
    </r>
    <r>
      <rPr>
        <vertAlign val="superscript"/>
        <sz val="12"/>
        <rFont val="Times New Roman"/>
        <family val="1"/>
        <charset val="204"/>
      </rPr>
      <t>10</t>
    </r>
    <r>
      <rPr>
        <sz val="12"/>
        <rFont val="Times New Roman"/>
        <family val="1"/>
        <charset val="204"/>
      </rPr>
      <t>тр=0,63 МВА;
∆L</t>
    </r>
    <r>
      <rPr>
        <vertAlign val="superscript"/>
        <sz val="12"/>
        <rFont val="Times New Roman"/>
        <family val="1"/>
        <charset val="204"/>
      </rPr>
      <t>0,4</t>
    </r>
    <r>
      <rPr>
        <sz val="12"/>
        <rFont val="Times New Roman"/>
        <family val="1"/>
        <charset val="204"/>
      </rPr>
      <t>з_лэп=9,828 км;</t>
    </r>
    <r>
      <rPr>
        <sz val="12"/>
        <color rgb="FFFF0000"/>
        <rFont val="Times New Roman"/>
        <family val="1"/>
        <charset val="204"/>
      </rPr>
      <t xml:space="preserve">
</t>
    </r>
    <r>
      <rPr>
        <sz val="12"/>
        <rFont val="Times New Roman"/>
        <family val="1"/>
        <charset val="204"/>
      </rPr>
      <t>∆Пsaidi=-0,00001105, ∆Пsaifi=-0,00000207</t>
    </r>
  </si>
  <si>
    <t>1,96  (0,63) МВА, 28,734 км (9,828 км)</t>
  </si>
  <si>
    <t>строительство</t>
  </si>
  <si>
    <t>ООО "Такси Европа" договор №31807063135 от 17.01.2019 в ценах 2019 года без НДС, млн. руб.</t>
  </si>
  <si>
    <t>ГАУ КО "Центр проектных экспертиз и ценообразования в строительстве" контракт № 53/см от 14.09.2021 в ценах 2021 года с НДС, млн. руб.</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</si>
  <si>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</si>
  <si>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«Перевод потребителей с напряжением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7 этапу»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</si>
  <si>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</si>
  <si>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</si>
  <si>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</si>
  <si>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32110654131</t>
  </si>
  <si>
    <t>20.09.2021</t>
  </si>
  <si>
    <t>5.7.3.2</t>
  </si>
  <si>
    <t>ЦКК</t>
  </si>
  <si>
    <t>14.09.2021</t>
  </si>
  <si>
    <t>38</t>
  </si>
  <si>
    <t>26.10.2021</t>
  </si>
  <si>
    <t>Услуги</t>
  </si>
  <si>
    <t xml:space="preserve">Оказание транспортных услуг посредством предоставления транспортных средств </t>
  </si>
  <si>
    <t>мониторинг цен</t>
  </si>
  <si>
    <t>ОЗП ЕП</t>
  </si>
  <si>
    <t>"Региональный Геодезический Центр" ООО</t>
  </si>
  <si>
    <t>"Такси Европа" ООО</t>
  </si>
  <si>
    <t xml:space="preserve"> 31807063135 </t>
  </si>
  <si>
    <t>rosseti.ru</t>
  </si>
  <si>
    <t xml:space="preserve"> 17.01.2019</t>
  </si>
  <si>
    <t xml:space="preserve"> 17.01.2021</t>
  </si>
  <si>
    <t>НДС не предусмотрен</t>
  </si>
  <si>
    <t>ТП-555 - 0,032 МВт - 01.02.2020; ТП-578 - 0,034 МВт - 01.02.2020; ТП-57 - 0,012 МВт - 01.02.2020; ТП-537 - 0,03 МВт - 18.01.2020; ТП-112 - 0,07 МВт - 18.01.2020; ТП-54 - 0,022 МВт - 18.01.2020; ТП-519 - 0,038 МВт - 18.01.2020</t>
  </si>
  <si>
    <t>1.2.1.</t>
  </si>
  <si>
    <t>Заключение договора на разработку проектной документации</t>
  </si>
  <si>
    <t>Приемка проектной документации заказчиком</t>
  </si>
  <si>
    <t>3.7.</t>
  </si>
  <si>
    <t>4.1.</t>
  </si>
  <si>
    <t>Утвержденный план</t>
  </si>
  <si>
    <t>Предложение по корректировке утвержденного плана</t>
  </si>
  <si>
    <t>Факт 2020 года</t>
  </si>
  <si>
    <t>ГАУ КО "Центр проектных экспертиз и ценообразования в строительстве" контракт № 86/см от 17.12.2021 в ценах 2021 года с НДС, млн. руб.</t>
  </si>
  <si>
    <t>Выполнение работ по проведению повторной государственной экспертизы проектной документации в части проверки достоверности определения сметной стоимости по объекту: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7 этапу»</t>
  </si>
  <si>
    <t>32110974244</t>
  </si>
  <si>
    <t>zakupki.gov</t>
  </si>
  <si>
    <t>17.12.2021</t>
  </si>
  <si>
    <t>58</t>
  </si>
  <si>
    <t>20.01.2022</t>
  </si>
  <si>
    <t>08.02.2022</t>
  </si>
  <si>
    <t>Акционерное общество "Россети Янтарь"</t>
  </si>
  <si>
    <t>АО "Россети Янтарь"</t>
  </si>
  <si>
    <t>Год раскрытия информации: 2023 год</t>
  </si>
  <si>
    <t>Акт технического обследования АО "Янтарьэнерго" от 14.10.2019:
В связи с физическим износом КЛ 0,23 кВ, превышением нормативного срока эксплуатации, многочисленными дефектами элементов рассматриваемого оборудования, недостаточной пропускной способностью, а также нестандартность класса напряжения, поддержание КЛ 0,23 кВ в работоспособном состоянии за счет технического обслуживания и ремонта трудозатратно, экономически нецелесообразно, не позволяет обеспечить надежное электроснабжение потребителей в г. Калининграде, и осуществлять технологическое присоединение новых потребителей.
Требуется проведение комплексной реконструкции с переводом сетей на напряжение 0,4 кВ и заменой на кабельную продукцию необходимого сечения, соответствующие требованиям действующих НТД и обеспечивающие возможность дальнейшего развития сети.
Техническое задание на разработку проектной и рабочей документации 2019 г.
Увеличение полной стоимости обусловлено сдвигом вправо срока реализации проекта с пересчетом оценки полной стоимости проекта в прогнозных ценах соответствующих лет.
Перенос срока реализации проекта осуществлен по следующим причинам:
- схемно-режимные ограничения сети 0,4 кВ, связанные с большим количеством объектов городской инфраструктуры и социально-значимых объектов;
- параллельными сроками реализации в г. Калининграде проекта по реконструкции сетей 6-10 кВ;
- ремонтной кампании АО «Янтарьэнерго» и режима ОЗП.
Неисполнение подрядной организации условий договора в части получения положительного заключения экспертизы ПСД (25.11.2021 получено отрицательное заключение, 17.12.2021 заключен Контракт с ГАУ КО «ЦПЭиЦС» на повторную ГЭ) повлекло невыполнение плана 2021 года.</t>
  </si>
  <si>
    <t>30.02.2023</t>
  </si>
  <si>
    <t>20.06.2023
30.01.2024</t>
  </si>
  <si>
    <t>20.07.2023
30.02.2024</t>
  </si>
  <si>
    <t>30.06.2023
01.02.2024</t>
  </si>
  <si>
    <t>30.08.2023
30.08.2024</t>
  </si>
  <si>
    <t>15.08.2023
30.03.2024</t>
  </si>
  <si>
    <t>30.09.2023
30.09.2024</t>
  </si>
  <si>
    <t>20.08.2023
10.05.2024</t>
  </si>
  <si>
    <t>30.10.2023
30.10.2024</t>
  </si>
  <si>
    <t>20.09.2023
20.09.2024</t>
  </si>
  <si>
    <t>10.11.2023
10.11.2024</t>
  </si>
  <si>
    <t>01.11.2023
01.11.2024</t>
  </si>
  <si>
    <t>20.11.2023
20.11.2024</t>
  </si>
  <si>
    <t>30.11.2023
30.11.2024</t>
  </si>
  <si>
    <t>15.12.2023
30.11.2024</t>
  </si>
  <si>
    <t>2023, 2024</t>
  </si>
  <si>
    <t>Сметная стоимость проекта в ценах 2023, 2024 года с НДС, млн рублей</t>
  </si>
  <si>
    <t>Перенос срока реализации проекта осуществлен по следующим причинам:
- схемно-режимные ограничения сети 0,4 кВ, связанные с большим количеством объектов городской инфраструктуры и социально-значимых объектов;
- параллельными сроками реализации в г. Калининграде проекта по реконструкции сетей 6-10 кВ;
- ремонтной кампании АО «Янтарьэнерго» и режима ОЗП</t>
  </si>
  <si>
    <t>Увеличение полной стоимости обусловлено сдвигом вправо срока реализации проекта с пересчетом оценки полной стоимости проекта в прогнозных ценах соответствующих лет.
Перенос срока реализации проекта осуществлен по следующим причинам:
- схемно-режимные ограничения сети 0,4 кВ, связанные с большим количеством объектов городской инфраструктуры и социально-значимых объектов;
- параллельными сроками реализации в г. Калининграде проекта по реконструкции сетей 6-10 кВ;
- ремонтной кампании АО «Янтарьэнерго» и режима ОЗП.
Неисполнение подрядной организации условий договора в части получения положительного заключения экспертизы ПСД (25.11.2021 получено отрицательное заключение, 17.12.2021 заключен Контракт с ГАУ КО «ЦПЭиЦС» на повторную ГЭ) повлекло невыполнение плана 2021 года.</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</si>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</sst>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00"/>
    <numFmt numFmtId="172" formatCode="#,##0.00_ ;\-#,##0.00\ "/>
    <numFmt numFmtId="173" formatCode="######0.0#####"/>
    <numFmt numFmtId="174" formatCode="[$-419]mmmm;@"/>
    <numFmt numFmtId="175" formatCode="_-* #,##0\ _₽_-;\-* #,##0\ _₽_-;_-* &quot;-&quot;??\ _₽_-;_-@_-"/>
    <numFmt numFmtId="176" formatCode="_-* #,##0.0000\ _₽_-;\-* #,##0.0000\ _₽_-;_-* &quot;-&quot;??\ _₽_-;_-@_-"/>
    <numFmt numFmtId="177" formatCode="###,###,###,##0.00;\-###,##0.00"/>
    <numFmt numFmtId="178" formatCode="0.00000000"/>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Arial"/>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1"/>
      <color indexed="8"/>
      <name val="Times New Roman"/>
      <family val="1"/>
      <charset val="204"/>
    </font>
    <font>
      <b/>
      <sz val="12"/>
      <color theme="1"/>
      <name val="Times New Roman"/>
      <family val="1"/>
      <charset val="204"/>
    </font>
    <font>
      <sz val="14"/>
      <color theme="1"/>
      <name val="Times New Roman"/>
      <family val="1"/>
      <charset val="204"/>
    </font>
    <font>
      <b/>
      <sz val="11"/>
      <color theme="1"/>
      <name val="Calibri"/>
      <family val="2"/>
      <charset val="204"/>
      <scheme val="minor"/>
    </font>
    <font>
      <b/>
      <sz val="11"/>
      <color rgb="FFFF0000"/>
      <name val="Calibri"/>
      <family val="2"/>
      <charset val="204"/>
      <scheme val="minor"/>
    </font>
    <font>
      <sz val="10"/>
      <color rgb="FF000000"/>
      <name val="Calibri"/>
      <family val="2"/>
      <charset val="204"/>
    </font>
    <font>
      <sz val="12"/>
      <color rgb="FFFF0000"/>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9"/>
      <color theme="1"/>
      <name val="Times New Roman"/>
      <family val="1"/>
      <charset val="204"/>
    </font>
    <font>
      <b/>
      <u/>
      <sz val="14"/>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u/>
      <sz val="11"/>
      <color theme="10"/>
      <name val="Calibri"/>
      <family val="2"/>
      <charset val="204"/>
      <scheme val="minor"/>
    </font>
    <font>
      <u/>
      <sz val="11"/>
      <color theme="10"/>
      <name val="Times New Roman"/>
      <family val="1"/>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8" tint="0.59999389629810485"/>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26">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0" fontId="3" fillId="0" borderId="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0" fontId="16" fillId="0" borderId="55" applyNumberFormat="0" applyFill="0" applyAlignment="0" applyProtection="0"/>
    <xf numFmtId="0" fontId="12" fillId="20" borderId="53" applyNumberFormat="0" applyAlignment="0" applyProtection="0"/>
    <xf numFmtId="0" fontId="10" fillId="7" borderId="53" applyNumberFormat="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11" fillId="20" borderId="54" applyNumberFormat="0" applyAlignment="0" applyProtection="0"/>
    <xf numFmtId="0" fontId="10" fillId="7" borderId="53" applyNumberFormat="0" applyAlignment="0" applyProtection="0"/>
    <xf numFmtId="0" fontId="7" fillId="23" borderId="56" applyNumberFormat="0" applyFont="0" applyAlignment="0" applyProtection="0"/>
    <xf numFmtId="0" fontId="16" fillId="0" borderId="55" applyNumberFormat="0" applyFill="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9" fontId="3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9" fontId="1" fillId="0" borderId="0" applyFont="0" applyFill="0" applyBorder="0" applyAlignment="0" applyProtection="0"/>
    <xf numFmtId="174" fontId="3" fillId="0" borderId="0"/>
    <xf numFmtId="43" fontId="1" fillId="0" borderId="0" applyFont="0" applyFill="0" applyBorder="0" applyAlignment="0" applyProtection="0"/>
    <xf numFmtId="0" fontId="75" fillId="0" borderId="0" applyNumberFormat="0" applyFill="0" applyBorder="0" applyAlignment="0" applyProtection="0"/>
    <xf numFmtId="0" fontId="3" fillId="0" borderId="0"/>
    <xf numFmtId="0" fontId="2" fillId="0" borderId="0"/>
  </cellStyleXfs>
  <cellXfs count="55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0" xfId="62" applyFont="1" applyAlignment="1">
      <alignment horizontal="left" wrapText="1"/>
    </xf>
    <xf numFmtId="0" fontId="29" fillId="0" borderId="0" xfId="0" applyFont="1" applyFill="1" applyAlignment="1">
      <alignment horizontal="center" vertical="center" wrapText="1"/>
    </xf>
    <xf numFmtId="0" fontId="3" fillId="0" borderId="0" xfId="62" applyFont="1" applyAlignment="1">
      <alignment horizontal="left" vertical="center" wrapText="1"/>
    </xf>
    <xf numFmtId="0" fontId="29" fillId="0" borderId="1" xfId="62" applyFont="1" applyBorder="1" applyAlignment="1">
      <alignment horizontal="center" vertical="top"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7" fillId="25" borderId="25" xfId="2"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39"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38" xfId="2" applyFont="1" applyFill="1" applyBorder="1" applyAlignment="1">
      <alignment vertical="top" wrapText="1"/>
    </xf>
    <xf numFmtId="0" fontId="27" fillId="0" borderId="39" xfId="2" applyFont="1" applyFill="1" applyBorder="1" applyAlignment="1">
      <alignment horizontal="justify" vertical="top" wrapText="1"/>
    </xf>
    <xf numFmtId="0" fontId="27" fillId="0" borderId="38"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32" fillId="0" borderId="0" xfId="2" applyFont="1" applyFill="1" applyAlignment="1">
      <alignment horizontal="center"/>
    </xf>
    <xf numFmtId="0" fontId="37" fillId="0" borderId="0" xfId="1" applyFont="1"/>
    <xf numFmtId="0" fontId="6" fillId="0" borderId="0" xfId="1" applyFont="1" applyFill="1"/>
    <xf numFmtId="0" fontId="38"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40"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1" fillId="0" borderId="0" xfId="1" applyFont="1"/>
    <xf numFmtId="0" fontId="4" fillId="0" borderId="0" xfId="1" applyFont="1" applyAlignment="1">
      <alignment horizontal="center" vertical="center"/>
    </xf>
    <xf numFmtId="0" fontId="39"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1"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1" fillId="24" borderId="0" xfId="1" applyFont="1" applyFill="1" applyBorder="1"/>
    <xf numFmtId="0" fontId="41" fillId="24" borderId="0" xfId="1" applyFont="1" applyFill="1"/>
    <xf numFmtId="0" fontId="3" fillId="0" borderId="1" xfId="1" applyFont="1" applyBorder="1" applyAlignment="1">
      <alignment horizontal="left" vertical="center" wrapText="1"/>
    </xf>
    <xf numFmtId="0" fontId="37"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3" fillId="0" borderId="1" xfId="1" applyFont="1" applyBorder="1" applyAlignment="1">
      <alignment horizontal="center" vertical="center"/>
    </xf>
    <xf numFmtId="0" fontId="43" fillId="0" borderId="4" xfId="1" applyFont="1" applyBorder="1" applyAlignment="1">
      <alignment horizontal="center" vertical="center"/>
    </xf>
    <xf numFmtId="0" fontId="37" fillId="0" borderId="1" xfId="1" applyFont="1" applyBorder="1"/>
    <xf numFmtId="0" fontId="6" fillId="0" borderId="0" xfId="1" applyFont="1" applyAlignment="1">
      <alignment wrapText="1"/>
    </xf>
    <xf numFmtId="0" fontId="6" fillId="0" borderId="0" xfId="1" applyFont="1" applyBorder="1" applyAlignment="1">
      <alignment wrapText="1"/>
    </xf>
    <xf numFmtId="0" fontId="41" fillId="0" borderId="0" xfId="1" applyFont="1" applyAlignment="1">
      <alignment wrapText="1"/>
    </xf>
    <xf numFmtId="0" fontId="3" fillId="0" borderId="4" xfId="1" applyFont="1" applyBorder="1" applyAlignment="1">
      <alignment vertical="center" wrapText="1"/>
    </xf>
    <xf numFmtId="0" fontId="44" fillId="0" borderId="0" xfId="0" applyFont="1"/>
    <xf numFmtId="0" fontId="44" fillId="0" borderId="0" xfId="0" applyFont="1" applyAlignment="1">
      <alignment horizontal="left"/>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3" fillId="0" borderId="1" xfId="0" applyFont="1" applyBorder="1" applyAlignment="1">
      <alignment horizontal="center" vertical="center"/>
    </xf>
    <xf numFmtId="0" fontId="43" fillId="0" borderId="1"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10" xfId="0" applyFont="1" applyBorder="1" applyAlignment="1">
      <alignment horizontal="center" vertical="center"/>
    </xf>
    <xf numFmtId="0" fontId="43" fillId="0" borderId="10" xfId="0" applyFont="1" applyFill="1" applyBorder="1" applyAlignment="1">
      <alignment horizontal="center" vertical="center" wrapText="1"/>
    </xf>
    <xf numFmtId="0" fontId="43" fillId="0" borderId="1" xfId="0" applyFont="1" applyBorder="1" applyAlignment="1">
      <alignment horizontal="left" vertic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69" fontId="3" fillId="0" borderId="0" xfId="67" applyNumberFormat="1" applyFont="1" applyFill="1" applyAlignment="1">
      <alignment vertical="center"/>
    </xf>
    <xf numFmtId="0" fontId="44" fillId="0" borderId="0" xfId="0" applyFont="1" applyFill="1" applyAlignment="1">
      <alignment horizontal="center" vertical="center"/>
    </xf>
    <xf numFmtId="0" fontId="44"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9"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50" fillId="0" borderId="1" xfId="49" applyFont="1" applyBorder="1" applyAlignment="1">
      <alignment horizontal="center" vertical="center"/>
    </xf>
    <xf numFmtId="0" fontId="50" fillId="0" borderId="0" xfId="49" applyFont="1"/>
    <xf numFmtId="0" fontId="3" fillId="25" borderId="0" xfId="2" applyFont="1" applyFill="1"/>
    <xf numFmtId="170" fontId="3" fillId="0" borderId="0" xfId="62" applyNumberFormat="1" applyFont="1" applyAlignment="1">
      <alignment horizontal="left"/>
    </xf>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3" fillId="0" borderId="40" xfId="2" applyNumberFormat="1" applyFont="1" applyFill="1" applyBorder="1" applyAlignment="1">
      <alignment horizontal="center" vertical="center" wrapText="1" shrinkToFit="1"/>
    </xf>
    <xf numFmtId="0" fontId="3" fillId="0" borderId="40" xfId="2" applyFont="1" applyFill="1" applyBorder="1" applyAlignment="1">
      <alignment vertical="center" wrapText="1" shrinkToFit="1"/>
    </xf>
    <xf numFmtId="0" fontId="3" fillId="0" borderId="40" xfId="2" applyNumberFormat="1" applyFont="1" applyFill="1" applyBorder="1" applyAlignment="1">
      <alignment horizontal="left" vertical="center" wrapText="1" shrinkToFit="1"/>
    </xf>
    <xf numFmtId="173" fontId="29" fillId="0" borderId="40" xfId="2" applyNumberFormat="1" applyFont="1" applyFill="1" applyBorder="1" applyAlignment="1">
      <alignment horizontal="right" vertical="center" wrapText="1" shrinkToFit="1"/>
    </xf>
    <xf numFmtId="0" fontId="52" fillId="0" borderId="41" xfId="67" applyFont="1" applyFill="1" applyBorder="1" applyAlignment="1">
      <alignment vertical="center"/>
    </xf>
    <xf numFmtId="0" fontId="52" fillId="0" borderId="0" xfId="67" applyFont="1" applyFill="1" applyBorder="1" applyAlignment="1">
      <alignment vertical="center"/>
    </xf>
    <xf numFmtId="0" fontId="52" fillId="0" borderId="42" xfId="67" applyFont="1" applyFill="1" applyBorder="1" applyAlignment="1">
      <alignment vertical="center"/>
    </xf>
    <xf numFmtId="3" fontId="55" fillId="0" borderId="33" xfId="67" applyNumberFormat="1" applyFont="1" applyFill="1" applyBorder="1" applyAlignment="1">
      <alignment vertical="center"/>
    </xf>
    <xf numFmtId="0" fontId="51" fillId="0" borderId="0" xfId="67" applyFont="1" applyFill="1" applyBorder="1" applyAlignment="1">
      <alignment vertical="center"/>
    </xf>
    <xf numFmtId="0" fontId="52" fillId="0" borderId="43" xfId="67" applyFont="1" applyFill="1" applyBorder="1" applyAlignment="1">
      <alignment vertical="center"/>
    </xf>
    <xf numFmtId="0" fontId="54" fillId="0" borderId="40" xfId="67" applyFont="1" applyFill="1" applyBorder="1" applyAlignment="1">
      <alignment horizontal="center" vertical="center"/>
    </xf>
    <xf numFmtId="0" fontId="52" fillId="0" borderId="44" xfId="67" applyFont="1" applyFill="1" applyBorder="1" applyAlignment="1">
      <alignment vertical="center"/>
    </xf>
    <xf numFmtId="10" fontId="55" fillId="0" borderId="34" xfId="67" applyNumberFormat="1" applyFont="1" applyFill="1" applyBorder="1" applyAlignment="1">
      <alignment vertical="center"/>
    </xf>
    <xf numFmtId="3" fontId="55" fillId="0" borderId="31" xfId="67" applyNumberFormat="1" applyFont="1" applyFill="1" applyBorder="1" applyAlignment="1">
      <alignment vertical="center"/>
    </xf>
    <xf numFmtId="9" fontId="55" fillId="0" borderId="35" xfId="67" applyNumberFormat="1" applyFont="1" applyFill="1" applyBorder="1" applyAlignment="1">
      <alignment vertical="center"/>
    </xf>
    <xf numFmtId="0" fontId="52" fillId="0" borderId="45" xfId="67" applyFont="1" applyFill="1" applyBorder="1" applyAlignment="1">
      <alignment vertical="center"/>
    </xf>
    <xf numFmtId="0" fontId="52" fillId="0" borderId="46" xfId="67" applyFont="1" applyFill="1" applyBorder="1" applyAlignment="1">
      <alignment vertical="center"/>
    </xf>
    <xf numFmtId="0" fontId="52" fillId="0" borderId="47" xfId="67" applyFont="1" applyFill="1" applyBorder="1" applyAlignment="1">
      <alignment vertical="center"/>
    </xf>
    <xf numFmtId="0" fontId="57" fillId="0" borderId="0" xfId="67" applyFont="1" applyFill="1" applyBorder="1" applyAlignment="1">
      <alignment vertical="center"/>
    </xf>
    <xf numFmtId="0" fontId="52" fillId="0" borderId="48" xfId="67" applyFont="1" applyFill="1" applyBorder="1" applyAlignment="1">
      <alignment horizontal="left" vertical="center"/>
    </xf>
    <xf numFmtId="1" fontId="52" fillId="0" borderId="24" xfId="67" applyNumberFormat="1" applyFont="1" applyFill="1" applyBorder="1" applyAlignment="1">
      <alignment horizontal="center" vertical="center"/>
    </xf>
    <xf numFmtId="0" fontId="52" fillId="0" borderId="49" xfId="67" applyFont="1" applyFill="1" applyBorder="1" applyAlignment="1">
      <alignment vertical="center"/>
    </xf>
    <xf numFmtId="10" fontId="55" fillId="0" borderId="40" xfId="67" applyNumberFormat="1" applyFont="1" applyFill="1" applyBorder="1" applyAlignment="1">
      <alignment vertical="center"/>
    </xf>
    <xf numFmtId="0" fontId="52" fillId="0" borderId="50" xfId="67" applyFont="1" applyFill="1" applyBorder="1" applyAlignment="1">
      <alignment vertical="center"/>
    </xf>
    <xf numFmtId="0" fontId="52" fillId="0" borderId="51" xfId="67" applyFont="1" applyFill="1" applyBorder="1" applyAlignment="1">
      <alignment vertical="center"/>
    </xf>
    <xf numFmtId="0" fontId="51" fillId="0" borderId="48" xfId="67" applyFont="1" applyFill="1" applyBorder="1" applyAlignment="1">
      <alignment vertical="center"/>
    </xf>
    <xf numFmtId="3" fontId="55" fillId="0" borderId="23" xfId="67" applyNumberFormat="1" applyFont="1" applyFill="1" applyBorder="1" applyAlignment="1">
      <alignment vertical="center"/>
    </xf>
    <xf numFmtId="3" fontId="57" fillId="0" borderId="0" xfId="67" applyNumberFormat="1" applyFont="1" applyFill="1" applyBorder="1" applyAlignment="1">
      <alignment horizontal="center" vertical="center"/>
    </xf>
    <xf numFmtId="0" fontId="51" fillId="0" borderId="49" xfId="67" applyFont="1" applyFill="1" applyBorder="1" applyAlignment="1">
      <alignment vertical="center"/>
    </xf>
    <xf numFmtId="0" fontId="52" fillId="0" borderId="49" xfId="67" applyFont="1" applyFill="1" applyBorder="1" applyAlignment="1">
      <alignment horizontal="left" vertical="center"/>
    </xf>
    <xf numFmtId="0" fontId="51" fillId="0" borderId="49" xfId="67" applyFont="1" applyFill="1" applyBorder="1" applyAlignment="1">
      <alignment horizontal="left" vertical="center"/>
    </xf>
    <xf numFmtId="0" fontId="51" fillId="0" borderId="50" xfId="67" applyFont="1" applyFill="1" applyBorder="1" applyAlignment="1">
      <alignment horizontal="left" vertical="center"/>
    </xf>
    <xf numFmtId="167" fontId="58" fillId="0" borderId="0" xfId="67" applyNumberFormat="1" applyFont="1" applyFill="1" applyBorder="1" applyAlignment="1">
      <alignment horizontal="center" vertical="center"/>
    </xf>
    <xf numFmtId="0" fontId="52" fillId="0" borderId="49" xfId="67" applyFont="1" applyFill="1" applyBorder="1" applyAlignment="1">
      <alignment horizontal="left" vertical="center" wrapText="1"/>
    </xf>
    <xf numFmtId="0" fontId="51" fillId="0" borderId="50" xfId="67" applyFont="1" applyFill="1" applyBorder="1" applyAlignment="1">
      <alignment vertical="center"/>
    </xf>
    <xf numFmtId="0" fontId="52" fillId="0" borderId="52" xfId="67" applyFont="1" applyFill="1" applyBorder="1" applyAlignment="1">
      <alignment vertical="center"/>
    </xf>
    <xf numFmtId="0" fontId="38" fillId="0" borderId="0" xfId="1" applyFont="1" applyFill="1" applyAlignment="1">
      <alignment horizontal="left" vertical="center"/>
    </xf>
    <xf numFmtId="0" fontId="32" fillId="0" borderId="0" xfId="1" applyFont="1" applyFill="1" applyAlignment="1">
      <alignment vertical="center"/>
    </xf>
    <xf numFmtId="0" fontId="42"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2" fillId="0" borderId="0" xfId="1" applyFont="1" applyFill="1" applyAlignment="1">
      <alignment vertical="center" wrapText="1"/>
    </xf>
    <xf numFmtId="0" fontId="4" fillId="0" borderId="0" xfId="1" applyFont="1" applyFill="1" applyAlignment="1">
      <alignment horizontal="center" vertical="center"/>
    </xf>
    <xf numFmtId="0" fontId="41" fillId="0" borderId="0" xfId="1" applyFont="1" applyFill="1"/>
    <xf numFmtId="0" fontId="39" fillId="0" borderId="0" xfId="1" applyFont="1" applyFill="1" applyAlignment="1">
      <alignment vertical="center"/>
    </xf>
    <xf numFmtId="49" fontId="59" fillId="0" borderId="40" xfId="0" applyNumberFormat="1" applyFont="1" applyFill="1" applyBorder="1" applyAlignment="1">
      <alignment horizontal="center" vertical="center" wrapText="1"/>
    </xf>
    <xf numFmtId="4" fontId="59" fillId="0" borderId="40" xfId="0" applyNumberFormat="1" applyFont="1" applyFill="1" applyBorder="1" applyAlignment="1">
      <alignment horizontal="center" vertical="center" wrapText="1"/>
    </xf>
    <xf numFmtId="1" fontId="27" fillId="0" borderId="40" xfId="49" applyNumberFormat="1" applyFont="1" applyBorder="1" applyAlignment="1">
      <alignment horizontal="center" vertical="center" wrapText="1"/>
    </xf>
    <xf numFmtId="0" fontId="27" fillId="0" borderId="40" xfId="49" applyFont="1" applyBorder="1" applyAlignment="1">
      <alignment horizontal="center" vertical="center" wrapText="1"/>
    </xf>
    <xf numFmtId="4" fontId="27" fillId="0" borderId="40" xfId="49" applyNumberFormat="1" applyFont="1" applyBorder="1" applyAlignment="1">
      <alignment horizontal="center" vertical="center" wrapText="1"/>
    </xf>
    <xf numFmtId="14" fontId="27" fillId="0" borderId="40" xfId="49" applyNumberFormat="1" applyFont="1" applyBorder="1" applyAlignment="1">
      <alignment horizontal="center" vertical="center" wrapText="1"/>
    </xf>
    <xf numFmtId="0" fontId="51" fillId="0" borderId="0" xfId="67" applyFont="1" applyFill="1" applyBorder="1" applyAlignment="1">
      <alignment horizontal="center" vertical="center"/>
    </xf>
    <xf numFmtId="0" fontId="53" fillId="0" borderId="0" xfId="67" applyFont="1" applyFill="1" applyBorder="1" applyAlignment="1">
      <alignment horizontal="left" vertical="center"/>
    </xf>
    <xf numFmtId="0" fontId="54" fillId="0" borderId="0" xfId="67" applyFont="1" applyFill="1" applyBorder="1" applyAlignment="1">
      <alignment vertical="center"/>
    </xf>
    <xf numFmtId="4" fontId="56" fillId="0" borderId="0" xfId="67" applyNumberFormat="1" applyFont="1" applyFill="1" applyBorder="1" applyAlignment="1">
      <alignment horizontal="center" vertical="center"/>
    </xf>
    <xf numFmtId="3" fontId="56" fillId="0" borderId="0" xfId="67" applyNumberFormat="1" applyFont="1" applyFill="1" applyBorder="1" applyAlignment="1">
      <alignment horizontal="center" vertical="center"/>
    </xf>
    <xf numFmtId="0" fontId="56" fillId="0" borderId="0" xfId="67" applyFont="1" applyFill="1" applyBorder="1" applyAlignment="1">
      <alignment horizontal="center" vertical="center"/>
    </xf>
    <xf numFmtId="17" fontId="27" fillId="0" borderId="40" xfId="49" applyNumberFormat="1" applyFont="1" applyBorder="1" applyAlignment="1">
      <alignment horizontal="center" vertical="center" wrapText="1"/>
    </xf>
    <xf numFmtId="2" fontId="27" fillId="0" borderId="28" xfId="2" applyNumberFormat="1" applyFont="1" applyFill="1" applyBorder="1" applyAlignment="1">
      <alignment horizontal="left" vertical="center" wrapText="1"/>
    </xf>
    <xf numFmtId="0" fontId="27" fillId="0" borderId="25" xfId="2" applyFont="1" applyFill="1" applyBorder="1" applyAlignment="1">
      <alignment horizontal="left" vertical="top" wrapText="1"/>
    </xf>
    <xf numFmtId="0" fontId="44" fillId="0" borderId="57" xfId="0" applyFont="1" applyFill="1" applyBorder="1"/>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7" fillId="0" borderId="0" xfId="1" applyFont="1" applyBorder="1" applyAlignment="1">
      <alignment horizontal="left"/>
    </xf>
    <xf numFmtId="0" fontId="37" fillId="0" borderId="0" xfId="1" applyFont="1" applyAlignment="1">
      <alignment horizontal="left"/>
    </xf>
    <xf numFmtId="0" fontId="29" fillId="0" borderId="40" xfId="2" applyNumberFormat="1" applyFont="1" applyFill="1" applyBorder="1" applyAlignment="1">
      <alignment horizontal="center" vertical="top" wrapText="1" shrinkToFit="1"/>
    </xf>
    <xf numFmtId="0" fontId="29" fillId="0" borderId="40" xfId="2" applyFont="1" applyFill="1" applyBorder="1" applyAlignment="1">
      <alignment horizontal="center" vertical="center" wrapText="1" shrinkToFit="1"/>
    </xf>
    <xf numFmtId="0" fontId="29" fillId="0" borderId="57" xfId="2" applyNumberFormat="1" applyFont="1" applyFill="1" applyBorder="1" applyAlignment="1">
      <alignment horizontal="center" vertical="top" wrapText="1" shrinkToFit="1"/>
    </xf>
    <xf numFmtId="4" fontId="27" fillId="0" borderId="28" xfId="2" applyNumberFormat="1" applyFont="1" applyFill="1" applyBorder="1" applyAlignment="1">
      <alignment horizontal="left" vertical="center" wrapText="1"/>
    </xf>
    <xf numFmtId="14" fontId="27" fillId="0" borderId="38" xfId="2" applyNumberFormat="1" applyFont="1" applyFill="1" applyBorder="1" applyAlignment="1">
      <alignment horizontal="justify" vertical="top" wrapText="1"/>
    </xf>
    <xf numFmtId="0" fontId="27" fillId="0" borderId="38" xfId="2" applyFont="1" applyFill="1" applyBorder="1" applyAlignment="1">
      <alignment horizontal="left" vertical="top" wrapText="1"/>
    </xf>
    <xf numFmtId="0" fontId="39" fillId="0" borderId="0" xfId="1" applyFont="1" applyFill="1" applyAlignment="1">
      <alignment horizontal="center" vertical="center"/>
    </xf>
    <xf numFmtId="3" fontId="27" fillId="0" borderId="61" xfId="121" applyNumberFormat="1" applyFont="1" applyFill="1" applyBorder="1" applyAlignment="1">
      <alignment vertical="center"/>
    </xf>
    <xf numFmtId="3" fontId="27" fillId="0" borderId="34" xfId="121" applyNumberFormat="1" applyFont="1" applyFill="1" applyBorder="1" applyAlignment="1">
      <alignment vertical="center"/>
    </xf>
    <xf numFmtId="4" fontId="31" fillId="0" borderId="60" xfId="121" applyNumberFormat="1" applyFont="1" applyFill="1" applyBorder="1" applyAlignment="1">
      <alignment horizontal="center" vertical="center"/>
    </xf>
    <xf numFmtId="3" fontId="31" fillId="0" borderId="60" xfId="121" applyNumberFormat="1" applyFont="1" applyFill="1" applyBorder="1" applyAlignment="1">
      <alignment horizontal="center" vertical="center"/>
    </xf>
    <xf numFmtId="10" fontId="55" fillId="0" borderId="60" xfId="67" applyNumberFormat="1" applyFont="1" applyFill="1" applyBorder="1" applyAlignment="1">
      <alignment vertical="center"/>
    </xf>
    <xf numFmtId="3" fontId="27" fillId="0" borderId="30" xfId="121" applyNumberFormat="1" applyFont="1" applyFill="1" applyBorder="1" applyAlignment="1">
      <alignment vertical="center"/>
    </xf>
    <xf numFmtId="10" fontId="27" fillId="0" borderId="36" xfId="121" applyNumberFormat="1" applyFont="1" applyFill="1" applyBorder="1" applyAlignment="1">
      <alignment vertical="center"/>
    </xf>
    <xf numFmtId="10" fontId="27" fillId="0" borderId="32" xfId="121" applyNumberFormat="1" applyFont="1" applyFill="1" applyBorder="1" applyAlignment="1">
      <alignment vertical="center"/>
    </xf>
    <xf numFmtId="43" fontId="55" fillId="0" borderId="40" xfId="119" applyFont="1" applyFill="1" applyBorder="1" applyAlignment="1">
      <alignment vertical="center"/>
    </xf>
    <xf numFmtId="43" fontId="55" fillId="0" borderId="23" xfId="119" applyFont="1" applyFill="1" applyBorder="1" applyAlignment="1">
      <alignment vertical="center"/>
    </xf>
    <xf numFmtId="3" fontId="51" fillId="0" borderId="60" xfId="67" applyNumberFormat="1" applyFont="1" applyFill="1" applyBorder="1" applyAlignment="1">
      <alignment vertical="center"/>
    </xf>
    <xf numFmtId="175" fontId="27" fillId="0" borderId="60" xfId="122" applyNumberFormat="1" applyFont="1" applyFill="1" applyBorder="1" applyAlignment="1">
      <alignment horizontal="center" vertical="center"/>
    </xf>
    <xf numFmtId="3" fontId="55" fillId="0" borderId="60" xfId="67" applyNumberFormat="1" applyFont="1" applyFill="1" applyBorder="1" applyAlignment="1">
      <alignment vertical="center"/>
    </xf>
    <xf numFmtId="175" fontId="27" fillId="0" borderId="60" xfId="122" applyNumberFormat="1" applyFont="1" applyFill="1" applyBorder="1" applyAlignment="1">
      <alignment horizontal="center"/>
    </xf>
    <xf numFmtId="164" fontId="55" fillId="0" borderId="60" xfId="58" applyFont="1" applyFill="1" applyBorder="1" applyAlignment="1">
      <alignment vertical="center"/>
    </xf>
    <xf numFmtId="164" fontId="55" fillId="0" borderId="62" xfId="58" applyFont="1" applyFill="1" applyBorder="1" applyAlignment="1">
      <alignment vertical="center"/>
    </xf>
    <xf numFmtId="175" fontId="28" fillId="0" borderId="60" xfId="122" applyNumberFormat="1" applyFont="1" applyFill="1" applyBorder="1" applyAlignment="1">
      <alignment horizontal="center" vertical="center"/>
    </xf>
    <xf numFmtId="175" fontId="28" fillId="0" borderId="23" xfId="122" applyNumberFormat="1" applyFont="1" applyFill="1" applyBorder="1" applyAlignment="1">
      <alignment horizontal="center" vertical="center"/>
    </xf>
    <xf numFmtId="43" fontId="51" fillId="0" borderId="60" xfId="119" applyFont="1" applyFill="1" applyBorder="1" applyAlignment="1">
      <alignment vertical="center"/>
    </xf>
    <xf numFmtId="3" fontId="27" fillId="0" borderId="60" xfId="67" applyNumberFormat="1" applyFont="1" applyFill="1" applyBorder="1" applyAlignment="1">
      <alignment vertical="center"/>
    </xf>
    <xf numFmtId="164" fontId="27" fillId="0" borderId="60" xfId="58" applyFont="1" applyFill="1" applyBorder="1" applyAlignment="1">
      <alignment vertical="center"/>
    </xf>
    <xf numFmtId="176" fontId="27" fillId="0" borderId="60" xfId="122" applyNumberFormat="1" applyFont="1" applyFill="1" applyBorder="1" applyAlignment="1">
      <alignment horizontal="center"/>
    </xf>
    <xf numFmtId="168" fontId="28" fillId="0" borderId="60" xfId="120" applyNumberFormat="1" applyFont="1" applyFill="1" applyBorder="1" applyAlignment="1">
      <alignment horizontal="center" vertical="center"/>
    </xf>
    <xf numFmtId="43" fontId="28" fillId="0" borderId="60" xfId="122" applyNumberFormat="1" applyFont="1" applyFill="1" applyBorder="1" applyAlignment="1">
      <alignment horizontal="center" vertical="center"/>
    </xf>
    <xf numFmtId="43" fontId="28" fillId="0" borderId="23" xfId="122" applyNumberFormat="1" applyFont="1" applyFill="1" applyBorder="1" applyAlignment="1">
      <alignment horizontal="center" vertical="center"/>
    </xf>
    <xf numFmtId="0" fontId="3" fillId="27" borderId="0" xfId="62" applyFont="1" applyFill="1" applyAlignment="1">
      <alignment horizontal="left"/>
    </xf>
    <xf numFmtId="0" fontId="3" fillId="0" borderId="0" xfId="62" applyFont="1" applyFill="1" applyAlignment="1">
      <alignment horizontal="left"/>
    </xf>
    <xf numFmtId="0" fontId="44" fillId="0" borderId="63" xfId="0" applyFont="1" applyBorder="1" applyAlignment="1">
      <alignment wrapText="1"/>
    </xf>
    <xf numFmtId="0" fontId="62" fillId="0" borderId="63" xfId="0" applyFont="1" applyBorder="1" applyAlignment="1">
      <alignment horizontal="center" vertical="center" wrapText="1"/>
    </xf>
    <xf numFmtId="177" fontId="44" fillId="0" borderId="63" xfId="0" applyNumberFormat="1" applyFont="1" applyBorder="1" applyAlignment="1">
      <alignment horizontal="center" vertical="center" wrapText="1"/>
    </xf>
    <xf numFmtId="0" fontId="44" fillId="0" borderId="63" xfId="0" applyFont="1" applyBorder="1" applyAlignment="1">
      <alignment horizontal="center" vertical="center" wrapText="1"/>
    </xf>
    <xf numFmtId="0" fontId="63" fillId="28" borderId="63" xfId="0" applyFont="1" applyFill="1" applyBorder="1" applyAlignment="1">
      <alignment horizontal="center" vertical="center"/>
    </xf>
    <xf numFmtId="0" fontId="0" fillId="0" borderId="63" xfId="0" applyBorder="1" applyAlignment="1">
      <alignment horizontal="center" vertical="center"/>
    </xf>
    <xf numFmtId="178" fontId="44" fillId="0" borderId="63" xfId="0" applyNumberFormat="1" applyFont="1" applyBorder="1" applyAlignment="1">
      <alignment horizontal="center" vertical="center" wrapText="1"/>
    </xf>
    <xf numFmtId="0" fontId="44" fillId="0" borderId="63" xfId="0" applyFont="1" applyBorder="1" applyAlignment="1">
      <alignment horizontal="left" wrapText="1"/>
    </xf>
    <xf numFmtId="0" fontId="44" fillId="0" borderId="63" xfId="0" applyFont="1" applyFill="1" applyBorder="1" applyAlignment="1">
      <alignment horizontal="center" vertical="center" wrapText="1"/>
    </xf>
    <xf numFmtId="178" fontId="62" fillId="0" borderId="64" xfId="0" applyNumberFormat="1" applyFont="1" applyBorder="1" applyAlignment="1">
      <alignment horizontal="center" vertical="center"/>
    </xf>
    <xf numFmtId="178" fontId="62" fillId="0" borderId="64" xfId="0" applyNumberFormat="1" applyFont="1" applyBorder="1" applyAlignment="1">
      <alignment horizontal="center" vertical="center" wrapText="1"/>
    </xf>
    <xf numFmtId="0" fontId="62" fillId="0" borderId="64" xfId="0" applyFont="1" applyBorder="1" applyAlignment="1">
      <alignment horizontal="center" vertical="center" wrapText="1"/>
    </xf>
    <xf numFmtId="178" fontId="0" fillId="0" borderId="63" xfId="0" applyNumberFormat="1" applyFill="1" applyBorder="1" applyAlignment="1">
      <alignment horizontal="center" vertical="center"/>
    </xf>
    <xf numFmtId="0" fontId="44" fillId="0" borderId="63" xfId="0" applyFont="1" applyBorder="1" applyAlignment="1">
      <alignment horizontal="center" wrapText="1"/>
    </xf>
    <xf numFmtId="0" fontId="64" fillId="0" borderId="63" xfId="0" applyFont="1" applyFill="1" applyBorder="1" applyAlignment="1">
      <alignment horizontal="left" vertical="center" wrapText="1"/>
    </xf>
    <xf numFmtId="177" fontId="64" fillId="29" borderId="63" xfId="0" applyNumberFormat="1" applyFont="1" applyFill="1" applyBorder="1" applyAlignment="1">
      <alignment horizontal="center" vertical="center" wrapText="1"/>
    </xf>
    <xf numFmtId="178" fontId="0" fillId="0" borderId="63" xfId="0" applyNumberFormat="1" applyBorder="1" applyAlignment="1">
      <alignment horizontal="center" vertical="center"/>
    </xf>
    <xf numFmtId="0" fontId="64" fillId="0" borderId="63" xfId="0" applyFont="1" applyFill="1" applyBorder="1" applyAlignment="1">
      <alignment horizontal="center" vertical="center" wrapText="1"/>
    </xf>
    <xf numFmtId="1" fontId="60" fillId="0" borderId="0" xfId="0" applyNumberFormat="1" applyFont="1" applyBorder="1" applyAlignment="1">
      <alignment vertical="center" wrapText="1"/>
    </xf>
    <xf numFmtId="0" fontId="40" fillId="24" borderId="0" xfId="1" applyFont="1" applyFill="1" applyAlignment="1">
      <alignment vertical="center"/>
    </xf>
    <xf numFmtId="0" fontId="32" fillId="24" borderId="0" xfId="1" applyFont="1" applyFill="1" applyAlignment="1">
      <alignment vertical="center"/>
    </xf>
    <xf numFmtId="0" fontId="6" fillId="24" borderId="0" xfId="1" applyFont="1" applyFill="1"/>
    <xf numFmtId="0" fontId="37" fillId="24" borderId="0" xfId="1" applyFont="1" applyFill="1" applyBorder="1"/>
    <xf numFmtId="0" fontId="37" fillId="24" borderId="0" xfId="1" applyFont="1" applyFill="1"/>
    <xf numFmtId="0" fontId="27" fillId="0" borderId="1" xfId="1" applyFont="1" applyFill="1" applyBorder="1" applyAlignment="1">
      <alignment horizontal="left"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44" fillId="0" borderId="66" xfId="0" applyFont="1" applyBorder="1" applyAlignment="1">
      <alignment horizontal="center" vertical="center" wrapText="1"/>
    </xf>
    <xf numFmtId="0" fontId="66" fillId="0" borderId="0" xfId="1" applyFont="1"/>
    <xf numFmtId="0" fontId="67" fillId="0" borderId="0" xfId="1" applyFont="1" applyAlignment="1">
      <alignment horizontal="left" vertical="center"/>
    </xf>
    <xf numFmtId="0" fontId="68" fillId="0" borderId="0" xfId="1" applyFont="1" applyAlignment="1">
      <alignment vertical="center"/>
    </xf>
    <xf numFmtId="0" fontId="61" fillId="0" borderId="0" xfId="1" applyFont="1" applyFill="1" applyBorder="1" applyAlignment="1">
      <alignment horizontal="center" vertical="center"/>
    </xf>
    <xf numFmtId="0" fontId="66" fillId="0" borderId="0" xfId="1" applyFont="1" applyBorder="1"/>
    <xf numFmtId="0" fontId="69" fillId="0" borderId="0" xfId="1" applyFont="1" applyAlignment="1">
      <alignment vertical="center"/>
    </xf>
    <xf numFmtId="0" fontId="70" fillId="0" borderId="0" xfId="1" applyFont="1"/>
    <xf numFmtId="0" fontId="52" fillId="0" borderId="0" xfId="1" applyFont="1" applyAlignment="1">
      <alignment vertical="center"/>
    </xf>
    <xf numFmtId="0" fontId="61" fillId="0" borderId="0" xfId="1" applyFont="1" applyAlignment="1">
      <alignment horizontal="center" vertical="center"/>
    </xf>
    <xf numFmtId="0" fontId="71" fillId="0" borderId="0" xfId="1" applyFont="1" applyAlignment="1">
      <alignment vertical="center"/>
    </xf>
    <xf numFmtId="0" fontId="60" fillId="0" borderId="66" xfId="1" applyFont="1" applyBorder="1" applyAlignment="1">
      <alignment horizontal="center" vertical="center" wrapText="1"/>
    </xf>
    <xf numFmtId="0" fontId="61" fillId="0" borderId="0" xfId="1" applyFont="1" applyBorder="1" applyAlignment="1">
      <alignment horizontal="center" vertical="center"/>
    </xf>
    <xf numFmtId="0" fontId="70" fillId="0" borderId="0" xfId="1" applyFont="1" applyBorder="1"/>
    <xf numFmtId="0" fontId="52" fillId="0" borderId="66" xfId="1" applyFont="1" applyBorder="1" applyAlignment="1">
      <alignment horizontal="center" vertical="center" wrapText="1"/>
    </xf>
    <xf numFmtId="0" fontId="52" fillId="0" borderId="62" xfId="1" applyFont="1" applyBorder="1" applyAlignment="1">
      <alignment horizontal="center" vertical="center" wrapText="1"/>
    </xf>
    <xf numFmtId="49" fontId="52" fillId="0" borderId="66" xfId="1" applyNumberFormat="1" applyFont="1" applyBorder="1" applyAlignment="1">
      <alignment vertical="center"/>
    </xf>
    <xf numFmtId="49" fontId="52" fillId="0" borderId="62" xfId="1" applyNumberFormat="1" applyFont="1" applyBorder="1" applyAlignment="1">
      <alignment vertical="center"/>
    </xf>
    <xf numFmtId="0" fontId="3" fillId="0" borderId="62" xfId="2" applyFont="1" applyFill="1" applyBorder="1" applyAlignment="1">
      <alignment vertical="center" wrapText="1"/>
    </xf>
    <xf numFmtId="0" fontId="3" fillId="0" borderId="66" xfId="1" applyFont="1" applyBorder="1" applyAlignment="1">
      <alignment vertical="center"/>
    </xf>
    <xf numFmtId="0" fontId="3" fillId="0" borderId="66" xfId="1" applyFont="1" applyBorder="1" applyAlignment="1">
      <alignment horizontal="center" vertical="center"/>
    </xf>
    <xf numFmtId="0" fontId="2" fillId="0" borderId="0" xfId="1" applyBorder="1"/>
    <xf numFmtId="0" fontId="2" fillId="0" borderId="0" xfId="1"/>
    <xf numFmtId="0" fontId="29" fillId="0" borderId="65" xfId="2" applyFont="1" applyFill="1" applyBorder="1" applyAlignment="1">
      <alignment horizontal="center" vertical="center" wrapText="1"/>
    </xf>
    <xf numFmtId="0" fontId="29" fillId="0" borderId="66" xfId="2" applyFont="1" applyFill="1" applyBorder="1" applyAlignment="1">
      <alignment horizontal="center" vertical="center" textRotation="90" wrapText="1"/>
    </xf>
    <xf numFmtId="0" fontId="29" fillId="0" borderId="66" xfId="2" applyFont="1" applyFill="1" applyBorder="1" applyAlignment="1">
      <alignment horizontal="center" vertical="center" wrapText="1"/>
    </xf>
    <xf numFmtId="49" fontId="29" fillId="0" borderId="66" xfId="2" applyNumberFormat="1" applyFont="1" applyFill="1" applyBorder="1" applyAlignment="1">
      <alignment horizontal="center" vertical="center" wrapText="1"/>
    </xf>
    <xf numFmtId="0" fontId="29" fillId="0" borderId="66" xfId="2" applyFont="1" applyFill="1" applyBorder="1" applyAlignment="1">
      <alignment horizontal="left" vertical="center" wrapText="1"/>
    </xf>
    <xf numFmtId="172" fontId="29" fillId="0" borderId="66" xfId="2" applyNumberFormat="1" applyFont="1" applyFill="1" applyBorder="1" applyAlignment="1">
      <alignment horizontal="center" vertical="center" wrapText="1"/>
    </xf>
    <xf numFmtId="172" fontId="60" fillId="0" borderId="66" xfId="2" applyNumberFormat="1" applyFont="1" applyFill="1" applyBorder="1" applyAlignment="1">
      <alignment horizontal="center" vertical="center" wrapText="1"/>
    </xf>
    <xf numFmtId="49" fontId="3" fillId="0" borderId="66" xfId="2" applyNumberFormat="1" applyFont="1" applyFill="1" applyBorder="1" applyAlignment="1">
      <alignment horizontal="center" vertical="center" wrapText="1"/>
    </xf>
    <xf numFmtId="0" fontId="3" fillId="0" borderId="66" xfId="2" applyFont="1" applyFill="1" applyBorder="1" applyAlignment="1">
      <alignment horizontal="left" vertical="center" wrapText="1"/>
    </xf>
    <xf numFmtId="172" fontId="3" fillId="0" borderId="66" xfId="2" applyNumberFormat="1" applyFont="1" applyFill="1" applyBorder="1" applyAlignment="1">
      <alignment horizontal="center" vertical="center" wrapText="1"/>
    </xf>
    <xf numFmtId="172" fontId="3" fillId="0" borderId="66" xfId="0" applyNumberFormat="1" applyFont="1" applyFill="1" applyBorder="1" applyAlignment="1">
      <alignment horizontal="center" vertical="center"/>
    </xf>
    <xf numFmtId="172" fontId="29" fillId="0" borderId="66" xfId="2" applyNumberFormat="1" applyFont="1" applyBorder="1" applyAlignment="1">
      <alignment horizontal="center" vertical="center"/>
    </xf>
    <xf numFmtId="172" fontId="29" fillId="0" borderId="66" xfId="0" applyNumberFormat="1" applyFont="1" applyFill="1" applyBorder="1" applyAlignment="1">
      <alignment horizontal="center" vertical="center"/>
    </xf>
    <xf numFmtId="0" fontId="72" fillId="0" borderId="66" xfId="45" applyFont="1" applyFill="1" applyBorder="1" applyAlignment="1">
      <alignment horizontal="left" vertical="center" wrapText="1"/>
    </xf>
    <xf numFmtId="172" fontId="73" fillId="0" borderId="66" xfId="45" applyNumberFormat="1" applyFont="1" applyFill="1" applyBorder="1" applyAlignment="1">
      <alignment horizontal="center" vertical="center" wrapText="1"/>
    </xf>
    <xf numFmtId="0" fontId="73" fillId="0" borderId="66" xfId="45" applyFont="1" applyFill="1" applyBorder="1" applyAlignment="1">
      <alignment horizontal="left" vertical="center" wrapText="1"/>
    </xf>
    <xf numFmtId="0" fontId="72" fillId="0" borderId="2" xfId="45" applyFont="1" applyFill="1" applyBorder="1" applyAlignment="1">
      <alignment horizontal="left" vertical="center" wrapText="1"/>
    </xf>
    <xf numFmtId="172" fontId="73" fillId="0" borderId="2" xfId="45" applyNumberFormat="1" applyFont="1" applyFill="1" applyBorder="1" applyAlignment="1">
      <alignment horizontal="center" vertical="center" wrapText="1"/>
    </xf>
    <xf numFmtId="171" fontId="27" fillId="0" borderId="25" xfId="2" applyNumberFormat="1" applyFont="1" applyFill="1" applyBorder="1" applyAlignment="1">
      <alignment horizontal="justify" vertical="top" wrapText="1"/>
    </xf>
    <xf numFmtId="2" fontId="27" fillId="25" borderId="28" xfId="2" applyNumberFormat="1" applyFont="1" applyFill="1" applyBorder="1" applyAlignment="1">
      <alignment horizontal="left" vertical="center" wrapText="1"/>
    </xf>
    <xf numFmtId="9" fontId="27" fillId="0" borderId="38" xfId="120" quotePrefix="1" applyFont="1" applyFill="1" applyBorder="1" applyAlignment="1">
      <alignment horizontal="justify" vertical="top" wrapText="1"/>
    </xf>
    <xf numFmtId="0" fontId="27" fillId="0" borderId="38" xfId="2" quotePrefix="1" applyFont="1" applyFill="1" applyBorder="1" applyAlignment="1">
      <alignment horizontal="justify" vertical="top" wrapText="1"/>
    </xf>
    <xf numFmtId="4" fontId="29" fillId="0" borderId="32" xfId="62" applyNumberFormat="1" applyFont="1" applyFill="1" applyBorder="1" applyAlignment="1">
      <alignment horizontal="left" vertical="center" wrapText="1"/>
    </xf>
    <xf numFmtId="1" fontId="27" fillId="0" borderId="67" xfId="49" applyNumberFormat="1" applyFont="1" applyBorder="1" applyAlignment="1">
      <alignment horizontal="center" vertical="center" wrapText="1"/>
    </xf>
    <xf numFmtId="0" fontId="27" fillId="0" borderId="67" xfId="49" applyFont="1" applyBorder="1" applyAlignment="1">
      <alignment horizontal="center" vertical="center" wrapText="1"/>
    </xf>
    <xf numFmtId="17" fontId="27" fillId="0" borderId="67" xfId="49" applyNumberFormat="1" applyFont="1" applyBorder="1" applyAlignment="1">
      <alignment horizontal="center" vertical="center" wrapText="1"/>
    </xf>
    <xf numFmtId="2" fontId="27" fillId="0" borderId="67" xfId="49" applyNumberFormat="1" applyFont="1" applyBorder="1" applyAlignment="1">
      <alignment horizontal="center" vertical="center" wrapText="1"/>
    </xf>
    <xf numFmtId="0" fontId="55" fillId="0" borderId="67" xfId="0" applyFont="1" applyBorder="1" applyAlignment="1">
      <alignment horizontal="center" vertical="center" wrapText="1"/>
    </xf>
    <xf numFmtId="14" fontId="76" fillId="0" borderId="67" xfId="123" applyNumberFormat="1" applyFont="1" applyFill="1" applyBorder="1" applyAlignment="1">
      <alignment horizontal="center" vertical="center"/>
    </xf>
    <xf numFmtId="49" fontId="27" fillId="0" borderId="67" xfId="0" applyNumberFormat="1" applyFont="1" applyFill="1" applyBorder="1" applyAlignment="1">
      <alignment horizontal="center" vertical="center" wrapText="1"/>
    </xf>
    <xf numFmtId="4" fontId="27" fillId="0" borderId="67" xfId="0" applyNumberFormat="1" applyFont="1" applyFill="1" applyBorder="1" applyAlignment="1">
      <alignment horizontal="center" vertical="center"/>
    </xf>
    <xf numFmtId="49" fontId="27" fillId="0" borderId="67" xfId="0" applyNumberFormat="1" applyFont="1" applyFill="1" applyBorder="1" applyAlignment="1">
      <alignment horizontal="center" vertical="center"/>
    </xf>
    <xf numFmtId="14" fontId="27" fillId="0" borderId="67" xfId="0" applyNumberFormat="1" applyFont="1" applyFill="1" applyBorder="1" applyAlignment="1">
      <alignment horizontal="center" vertical="center"/>
    </xf>
    <xf numFmtId="0" fontId="27" fillId="0" borderId="0" xfId="49" applyFont="1" applyAlignment="1">
      <alignment horizontal="center" vertical="center" wrapText="1"/>
    </xf>
    <xf numFmtId="4" fontId="77" fillId="0" borderId="67" xfId="0" applyNumberFormat="1" applyFont="1" applyFill="1" applyBorder="1" applyAlignment="1">
      <alignment horizontal="center" vertical="center"/>
    </xf>
    <xf numFmtId="4" fontId="27" fillId="0" borderId="0" xfId="49" applyNumberFormat="1" applyFont="1"/>
    <xf numFmtId="14" fontId="76" fillId="0" borderId="67" xfId="123" applyNumberFormat="1" applyFont="1" applyFill="1" applyBorder="1" applyAlignment="1">
      <alignment horizontal="center" vertical="center" wrapText="1"/>
    </xf>
    <xf numFmtId="14" fontId="3" fillId="26" borderId="68" xfId="124" applyNumberFormat="1" applyFont="1" applyFill="1" applyBorder="1" applyAlignment="1">
      <alignment horizontal="center" vertical="center" wrapText="1" shrinkToFit="1"/>
    </xf>
    <xf numFmtId="14" fontId="3" fillId="26" borderId="68" xfId="125" applyNumberFormat="1" applyFont="1" applyFill="1" applyBorder="1" applyAlignment="1">
      <alignment horizontal="center" vertical="center" wrapText="1"/>
    </xf>
    <xf numFmtId="0" fontId="3" fillId="0" borderId="69" xfId="62" applyFont="1" applyFill="1" applyBorder="1" applyAlignment="1">
      <alignment horizontal="center" vertical="center"/>
    </xf>
    <xf numFmtId="0" fontId="3" fillId="0" borderId="69" xfId="62" applyFont="1" applyFill="1" applyBorder="1" applyAlignment="1">
      <alignment horizontal="center" vertical="center" wrapText="1"/>
    </xf>
    <xf numFmtId="49" fontId="3" fillId="0" borderId="69" xfId="62" applyNumberFormat="1" applyFont="1" applyFill="1" applyBorder="1" applyAlignment="1">
      <alignment horizontal="center" vertical="center"/>
    </xf>
    <xf numFmtId="2" fontId="3" fillId="0" borderId="69" xfId="62" applyNumberFormat="1" applyFont="1" applyFill="1" applyBorder="1" applyAlignment="1">
      <alignment horizontal="center" vertical="center"/>
    </xf>
    <xf numFmtId="0" fontId="27" fillId="0" borderId="69" xfId="0" applyFont="1" applyFill="1" applyBorder="1" applyAlignment="1">
      <alignment horizontal="left" vertical="center" wrapText="1"/>
    </xf>
    <xf numFmtId="0" fontId="27" fillId="0" borderId="69" xfId="62" applyFont="1" applyFill="1" applyBorder="1" applyAlignment="1">
      <alignment horizontal="center" vertical="center"/>
    </xf>
    <xf numFmtId="0" fontId="3" fillId="30" borderId="0" xfId="62" applyFont="1" applyFill="1" applyAlignment="1">
      <alignment horizontal="left"/>
    </xf>
    <xf numFmtId="0" fontId="27" fillId="0" borderId="69" xfId="62" applyFont="1" applyFill="1" applyBorder="1" applyAlignment="1">
      <alignment horizontal="center" vertical="center" wrapText="1"/>
    </xf>
    <xf numFmtId="0" fontId="3" fillId="31" borderId="0" xfId="62" applyFont="1" applyFill="1" applyAlignment="1">
      <alignment horizontal="left"/>
    </xf>
    <xf numFmtId="0" fontId="27" fillId="0" borderId="69" xfId="0" applyFont="1" applyFill="1" applyBorder="1" applyAlignment="1">
      <alignment vertical="center" wrapText="1"/>
    </xf>
    <xf numFmtId="0" fontId="27" fillId="0" borderId="69" xfId="62" applyFont="1" applyFill="1" applyBorder="1" applyAlignment="1">
      <alignment horizontal="left" vertical="center"/>
    </xf>
    <xf numFmtId="0" fontId="27" fillId="0" borderId="70" xfId="62" applyFont="1" applyFill="1" applyBorder="1" applyAlignment="1">
      <alignment horizontal="center" vertical="center"/>
    </xf>
    <xf numFmtId="0" fontId="27" fillId="0" borderId="6" xfId="62" applyFont="1" applyFill="1" applyBorder="1" applyAlignment="1">
      <alignment horizontal="center" vertical="center"/>
    </xf>
    <xf numFmtId="0" fontId="27" fillId="0" borderId="69" xfId="62" applyFont="1" applyFill="1" applyBorder="1" applyAlignment="1">
      <alignment horizontal="left" vertical="center" wrapText="1"/>
    </xf>
    <xf numFmtId="0" fontId="27" fillId="0" borderId="70" xfId="62" applyFont="1" applyFill="1" applyBorder="1" applyAlignment="1">
      <alignment horizontal="left" vertical="center"/>
    </xf>
    <xf numFmtId="0" fontId="27" fillId="0" borderId="69" xfId="0" applyFont="1" applyFill="1" applyBorder="1" applyAlignment="1">
      <alignment horizontal="left" vertical="center"/>
    </xf>
    <xf numFmtId="0" fontId="27" fillId="0" borderId="69" xfId="0" applyFont="1" applyFill="1" applyBorder="1" applyAlignment="1">
      <alignment horizontal="center" vertical="center"/>
    </xf>
    <xf numFmtId="170" fontId="36" fillId="0" borderId="69" xfId="40" applyNumberFormat="1" applyFont="1" applyFill="1" applyBorder="1" applyAlignment="1">
      <alignment horizontal="center" vertical="center"/>
    </xf>
    <xf numFmtId="0" fontId="27" fillId="0" borderId="71" xfId="62" applyFont="1" applyFill="1" applyBorder="1" applyAlignment="1">
      <alignment horizontal="center" vertical="center"/>
    </xf>
    <xf numFmtId="0" fontId="27" fillId="0" borderId="2" xfId="62" applyFont="1" applyFill="1" applyBorder="1" applyAlignment="1">
      <alignment horizontal="center" vertical="center"/>
    </xf>
    <xf numFmtId="0" fontId="55" fillId="0" borderId="69" xfId="62" applyFont="1" applyFill="1" applyBorder="1" applyAlignment="1">
      <alignment horizontal="center" vertical="center"/>
    </xf>
    <xf numFmtId="0" fontId="3" fillId="31" borderId="0" xfId="62" applyFont="1" applyFill="1" applyAlignment="1">
      <alignment horizontal="left" vertical="top"/>
    </xf>
    <xf numFmtId="0" fontId="3" fillId="31" borderId="0" xfId="62" applyFont="1" applyFill="1" applyAlignment="1">
      <alignment horizontal="center" vertical="top"/>
    </xf>
    <xf numFmtId="0" fontId="3" fillId="30" borderId="0" xfId="62" applyFont="1" applyFill="1" applyAlignment="1">
      <alignment horizontal="left" vertical="top"/>
    </xf>
    <xf numFmtId="0" fontId="27" fillId="0" borderId="70" xfId="62" applyFont="1" applyFill="1" applyBorder="1" applyAlignment="1">
      <alignment vertical="center"/>
    </xf>
    <xf numFmtId="0" fontId="27" fillId="0" borderId="2" xfId="62" applyFont="1" applyFill="1" applyBorder="1" applyAlignment="1">
      <alignment vertical="center"/>
    </xf>
    <xf numFmtId="0" fontId="3" fillId="0" borderId="0" xfId="62" applyFont="1" applyFill="1" applyAlignment="1">
      <alignment horizontal="left" vertical="center"/>
    </xf>
    <xf numFmtId="0" fontId="27" fillId="0" borderId="0" xfId="62" applyFont="1" applyFill="1" applyBorder="1" applyAlignment="1">
      <alignment horizontal="center" vertical="center"/>
    </xf>
    <xf numFmtId="0" fontId="27" fillId="0" borderId="0" xfId="0" applyFont="1" applyFill="1" applyBorder="1" applyAlignment="1">
      <alignment horizontal="left" vertical="center" wrapText="1"/>
    </xf>
    <xf numFmtId="0" fontId="27" fillId="0" borderId="0" xfId="62" applyFont="1" applyFill="1" applyBorder="1" applyAlignment="1">
      <alignment horizontal="left" vertical="center"/>
    </xf>
    <xf numFmtId="0" fontId="52" fillId="0" borderId="0" xfId="0" applyFont="1" applyFill="1" applyBorder="1" applyAlignment="1">
      <alignment vertical="center" wrapText="1"/>
    </xf>
    <xf numFmtId="1" fontId="27" fillId="0" borderId="72" xfId="49" applyNumberFormat="1" applyFont="1" applyBorder="1" applyAlignment="1">
      <alignment horizontal="center" vertical="center" wrapText="1"/>
    </xf>
    <xf numFmtId="0" fontId="27" fillId="0" borderId="72" xfId="49" applyFont="1" applyBorder="1" applyAlignment="1">
      <alignment horizontal="center" vertical="center" wrapText="1"/>
    </xf>
    <xf numFmtId="17" fontId="27" fillId="0" borderId="72" xfId="49" applyNumberFormat="1" applyFont="1" applyBorder="1" applyAlignment="1">
      <alignment horizontal="center" vertical="center" wrapText="1"/>
    </xf>
    <xf numFmtId="2" fontId="27" fillId="0" borderId="72" xfId="49" applyNumberFormat="1" applyFont="1" applyBorder="1" applyAlignment="1">
      <alignment horizontal="center" vertical="center" wrapText="1"/>
    </xf>
    <xf numFmtId="4" fontId="27" fillId="0" borderId="72" xfId="49" applyNumberFormat="1" applyFont="1" applyBorder="1" applyAlignment="1">
      <alignment horizontal="center" vertical="center" wrapText="1"/>
    </xf>
    <xf numFmtId="49" fontId="59" fillId="0" borderId="72" xfId="0" applyNumberFormat="1" applyFont="1" applyFill="1" applyBorder="1" applyAlignment="1">
      <alignment horizontal="center" vertical="center" wrapText="1"/>
    </xf>
    <xf numFmtId="4" fontId="59" fillId="0" borderId="72" xfId="0" applyNumberFormat="1" applyFont="1" applyFill="1" applyBorder="1" applyAlignment="1">
      <alignment horizontal="center" vertical="center" wrapText="1"/>
    </xf>
    <xf numFmtId="14" fontId="27" fillId="0" borderId="72" xfId="49" applyNumberFormat="1" applyFont="1" applyBorder="1" applyAlignment="1">
      <alignment horizontal="center" vertical="center" wrapText="1"/>
    </xf>
    <xf numFmtId="49" fontId="27" fillId="0" borderId="72" xfId="49" applyNumberFormat="1" applyFont="1" applyBorder="1" applyAlignment="1">
      <alignment horizontal="center" vertical="center" wrapText="1"/>
    </xf>
    <xf numFmtId="0" fontId="3" fillId="0" borderId="0" xfId="49" applyFont="1" applyAlignment="1">
      <alignment horizontal="center" vertical="center" wrapText="1"/>
    </xf>
    <xf numFmtId="9" fontId="3" fillId="0" borderId="72" xfId="124" applyNumberFormat="1" applyFont="1" applyFill="1" applyBorder="1" applyAlignment="1">
      <alignment horizontal="center" vertical="center" wrapText="1"/>
    </xf>
    <xf numFmtId="9" fontId="3" fillId="26" borderId="72" xfId="124" applyNumberFormat="1" applyFont="1" applyFill="1" applyBorder="1" applyAlignment="1">
      <alignment horizontal="center" vertical="center" wrapText="1"/>
    </xf>
    <xf numFmtId="0" fontId="29" fillId="0" borderId="73" xfId="2" applyNumberFormat="1" applyFont="1" applyBorder="1" applyAlignment="1">
      <alignment horizontal="center" vertical="top" wrapText="1"/>
    </xf>
    <xf numFmtId="0" fontId="29" fillId="0" borderId="73" xfId="2" applyFont="1" applyBorder="1" applyAlignment="1">
      <alignment vertical="top" wrapText="1"/>
    </xf>
    <xf numFmtId="0" fontId="3" fillId="0" borderId="73" xfId="2" applyFont="1" applyBorder="1" applyAlignment="1">
      <alignment vertical="top" wrapText="1"/>
    </xf>
    <xf numFmtId="0" fontId="3" fillId="0" borderId="73" xfId="2" applyFont="1" applyBorder="1" applyAlignment="1">
      <alignment horizontal="justify" vertical="top" wrapText="1"/>
    </xf>
    <xf numFmtId="0" fontId="3" fillId="0" borderId="0" xfId="2" applyFont="1" applyFill="1" applyAlignment="1">
      <alignment vertical="top" wrapText="1"/>
    </xf>
    <xf numFmtId="14" fontId="3" fillId="26" borderId="74" xfId="124" applyNumberFormat="1" applyFont="1" applyFill="1" applyBorder="1" applyAlignment="1">
      <alignment horizontal="center" vertical="center" wrapText="1" shrinkToFit="1"/>
    </xf>
    <xf numFmtId="14" fontId="3" fillId="26" borderId="74" xfId="125" applyNumberFormat="1" applyFont="1" applyFill="1" applyBorder="1" applyAlignment="1">
      <alignment horizontal="center" vertical="center" wrapText="1"/>
    </xf>
    <xf numFmtId="14" fontId="3" fillId="0" borderId="74" xfId="124" applyNumberFormat="1" applyFont="1" applyFill="1" applyBorder="1" applyAlignment="1">
      <alignment horizontal="center" vertical="center" wrapText="1" shrinkToFit="1"/>
    </xf>
    <xf numFmtId="0" fontId="29" fillId="0" borderId="75" xfId="2" applyFont="1" applyFill="1" applyBorder="1" applyAlignment="1">
      <alignment horizontal="center" vertical="center" wrapText="1"/>
    </xf>
    <xf numFmtId="0" fontId="3" fillId="0" borderId="75" xfId="2" applyFont="1" applyFill="1" applyBorder="1" applyAlignment="1">
      <alignment horizontal="center" vertical="center" wrapText="1"/>
    </xf>
    <xf numFmtId="0" fontId="29" fillId="0" borderId="74" xfId="2" applyFont="1" applyFill="1" applyBorder="1" applyAlignment="1">
      <alignment horizontal="center" vertical="center" textRotation="90" wrapText="1"/>
    </xf>
    <xf numFmtId="172" fontId="3" fillId="0" borderId="74" xfId="2" applyNumberFormat="1" applyFont="1" applyFill="1" applyBorder="1" applyAlignment="1">
      <alignment horizontal="center" vertical="center" wrapText="1"/>
    </xf>
    <xf numFmtId="172" fontId="29" fillId="0" borderId="74" xfId="2" applyNumberFormat="1" applyFont="1" applyFill="1" applyBorder="1" applyAlignment="1">
      <alignment horizontal="center" vertical="center" wrapText="1"/>
    </xf>
    <xf numFmtId="4" fontId="60" fillId="0" borderId="74" xfId="0" applyNumberFormat="1" applyFont="1" applyBorder="1" applyAlignment="1">
      <alignment horizontal="center" vertical="center" wrapText="1"/>
    </xf>
    <xf numFmtId="172" fontId="3" fillId="0" borderId="74" xfId="0" applyNumberFormat="1" applyFont="1" applyFill="1" applyBorder="1" applyAlignment="1">
      <alignment horizontal="center" vertical="center"/>
    </xf>
    <xf numFmtId="0" fontId="27" fillId="32" borderId="25" xfId="2" applyFont="1" applyFill="1" applyBorder="1" applyAlignment="1">
      <alignment horizontal="justify" vertical="top" wrapText="1"/>
    </xf>
    <xf numFmtId="2" fontId="27" fillId="32" borderId="28" xfId="2" applyNumberFormat="1" applyFont="1" applyFill="1" applyBorder="1" applyAlignment="1">
      <alignment horizontal="left" vertical="center" wrapText="1"/>
    </xf>
    <xf numFmtId="0" fontId="27" fillId="0" borderId="27" xfId="2" applyFont="1" applyFill="1" applyBorder="1" applyAlignment="1">
      <alignment vertical="top"/>
    </xf>
    <xf numFmtId="1" fontId="27" fillId="0" borderId="74" xfId="49" applyNumberFormat="1" applyFont="1" applyBorder="1" applyAlignment="1">
      <alignment horizontal="center" vertical="center" wrapText="1"/>
    </xf>
    <xf numFmtId="0" fontId="27" fillId="0" borderId="74" xfId="49" applyFont="1" applyBorder="1" applyAlignment="1">
      <alignment horizontal="center" vertical="center" wrapText="1"/>
    </xf>
    <xf numFmtId="17" fontId="27" fillId="0" borderId="74" xfId="49" applyNumberFormat="1" applyFont="1" applyBorder="1" applyAlignment="1">
      <alignment horizontal="center" vertical="center" wrapText="1"/>
    </xf>
    <xf numFmtId="2" fontId="27" fillId="0" borderId="74" xfId="49" applyNumberFormat="1" applyFont="1" applyBorder="1" applyAlignment="1">
      <alignment horizontal="center" vertical="center" wrapText="1"/>
    </xf>
    <xf numFmtId="4" fontId="27" fillId="0" borderId="74" xfId="49" applyNumberFormat="1" applyFont="1" applyBorder="1" applyAlignment="1">
      <alignment horizontal="center" vertical="center" wrapText="1"/>
    </xf>
    <xf numFmtId="49" fontId="59" fillId="0" borderId="74" xfId="0" applyNumberFormat="1" applyFont="1" applyFill="1" applyBorder="1" applyAlignment="1">
      <alignment horizontal="center" vertical="center" wrapText="1"/>
    </xf>
    <xf numFmtId="4" fontId="59" fillId="0" borderId="74" xfId="0" applyNumberFormat="1" applyFont="1" applyFill="1" applyBorder="1" applyAlignment="1">
      <alignment horizontal="center" vertical="center" wrapText="1"/>
    </xf>
    <xf numFmtId="14" fontId="27" fillId="0" borderId="74" xfId="49" applyNumberFormat="1" applyFont="1" applyBorder="1" applyAlignment="1">
      <alignment horizontal="center" vertical="center" wrapText="1"/>
    </xf>
    <xf numFmtId="49" fontId="27" fillId="0" borderId="74" xfId="49" applyNumberFormat="1" applyFont="1" applyBorder="1" applyAlignment="1">
      <alignment horizontal="center" vertical="center" wrapText="1"/>
    </xf>
    <xf numFmtId="0" fontId="27" fillId="0" borderId="26" xfId="2" applyFont="1" applyFill="1" applyBorder="1" applyAlignment="1">
      <alignment horizontal="left" vertical="top" wrapText="1"/>
    </xf>
    <xf numFmtId="1" fontId="3" fillId="26" borderId="74" xfId="62" applyNumberFormat="1" applyFont="1" applyFill="1" applyBorder="1" applyAlignment="1">
      <alignment horizontal="left" vertical="center" wrapText="1"/>
    </xf>
    <xf numFmtId="0" fontId="3" fillId="0" borderId="74" xfId="1" applyFont="1" applyBorder="1" applyAlignment="1">
      <alignment horizontal="left" vertical="center" wrapText="1"/>
    </xf>
    <xf numFmtId="0" fontId="3" fillId="0" borderId="74" xfId="1" applyFont="1" applyFill="1" applyBorder="1" applyAlignment="1">
      <alignment horizontal="left" vertical="center" wrapText="1"/>
    </xf>
    <xf numFmtId="14" fontId="65" fillId="26" borderId="74" xfId="125" applyNumberFormat="1" applyFont="1" applyFill="1" applyBorder="1" applyAlignment="1">
      <alignment horizontal="center" vertical="center" wrapText="1"/>
    </xf>
    <xf numFmtId="0" fontId="29" fillId="0" borderId="0" xfId="0" applyFont="1" applyFill="1" applyAlignment="1">
      <alignment horizontal="center" vertical="center"/>
    </xf>
    <xf numFmtId="1" fontId="60" fillId="0" borderId="0" xfId="0" applyNumberFormat="1" applyFont="1" applyBorder="1" applyAlignment="1">
      <alignment horizontal="center" vertical="center" wrapText="1"/>
    </xf>
    <xf numFmtId="0" fontId="32" fillId="0" borderId="0" xfId="1" applyFont="1" applyAlignment="1">
      <alignment horizontal="center" vertical="center"/>
    </xf>
    <xf numFmtId="0" fontId="3" fillId="0" borderId="0" xfId="1" applyFont="1" applyAlignment="1">
      <alignment horizontal="center" vertical="center"/>
    </xf>
    <xf numFmtId="0" fontId="39" fillId="0" borderId="0" xfId="1" applyFont="1" applyFill="1" applyAlignment="1">
      <alignment horizontal="center" vertical="center"/>
    </xf>
    <xf numFmtId="0" fontId="42"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9" fillId="0" borderId="0" xfId="1" applyFont="1" applyAlignment="1">
      <alignment horizontal="center" vertical="center" wrapText="1"/>
    </xf>
    <xf numFmtId="0" fontId="39" fillId="0" borderId="0" xfId="1" applyFont="1" applyAlignment="1">
      <alignment horizontal="center" vertical="center"/>
    </xf>
    <xf numFmtId="0" fontId="29" fillId="0" borderId="1" xfId="1" applyFont="1" applyBorder="1" applyAlignment="1">
      <alignment horizontal="center" vertical="center" wrapText="1"/>
    </xf>
    <xf numFmtId="0" fontId="29"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1" fontId="29" fillId="0" borderId="0" xfId="1" applyNumberFormat="1" applyFont="1" applyAlignment="1">
      <alignment horizontal="center" vertical="center" wrapText="1"/>
    </xf>
    <xf numFmtId="0" fontId="29"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70" xfId="62" applyFont="1" applyFill="1" applyBorder="1" applyAlignment="1">
      <alignment horizontal="center" vertical="center" wrapText="1"/>
    </xf>
    <xf numFmtId="0" fontId="3" fillId="0" borderId="6"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42" fillId="0" borderId="0" xfId="1" applyFont="1" applyAlignment="1">
      <alignment horizontal="center" vertical="center" wrapText="1"/>
    </xf>
    <xf numFmtId="0" fontId="27" fillId="0" borderId="70" xfId="62" applyFont="1" applyFill="1" applyBorder="1" applyAlignment="1">
      <alignment horizontal="center" vertical="center"/>
    </xf>
    <xf numFmtId="0" fontId="27" fillId="0" borderId="2" xfId="62" applyFont="1" applyFill="1" applyBorder="1" applyAlignment="1">
      <alignment horizontal="center" vertical="center"/>
    </xf>
    <xf numFmtId="0" fontId="27" fillId="0" borderId="6" xfId="62" applyFont="1" applyFill="1" applyBorder="1" applyAlignment="1">
      <alignment horizontal="center" vertical="center"/>
    </xf>
    <xf numFmtId="0" fontId="27" fillId="0" borderId="70" xfId="0" applyFont="1" applyFill="1" applyBorder="1" applyAlignment="1">
      <alignment horizontal="left" vertical="center" wrapText="1"/>
    </xf>
    <xf numFmtId="0" fontId="27" fillId="0" borderId="6"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70" xfId="62" applyFont="1" applyFill="1" applyBorder="1" applyAlignment="1">
      <alignment horizontal="left" vertical="center"/>
    </xf>
    <xf numFmtId="0" fontId="27" fillId="0" borderId="2" xfId="62" applyFont="1" applyFill="1" applyBorder="1" applyAlignment="1">
      <alignment horizontal="left" vertical="center"/>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7" fillId="0" borderId="70" xfId="62" applyFont="1" applyFill="1" applyBorder="1" applyAlignment="1">
      <alignment horizontal="center" vertical="center" wrapText="1"/>
    </xf>
    <xf numFmtId="0" fontId="27" fillId="0" borderId="6" xfId="62" applyFont="1" applyFill="1" applyBorder="1" applyAlignment="1">
      <alignment horizontal="center" vertical="center" wrapText="1"/>
    </xf>
    <xf numFmtId="0" fontId="27" fillId="0" borderId="2" xfId="62" applyFont="1" applyFill="1" applyBorder="1" applyAlignment="1">
      <alignment horizontal="center" vertical="center" wrapText="1"/>
    </xf>
    <xf numFmtId="170" fontId="27" fillId="0" borderId="70" xfId="62" applyNumberFormat="1" applyFont="1" applyFill="1" applyBorder="1" applyAlignment="1">
      <alignment horizontal="center" vertical="center"/>
    </xf>
    <xf numFmtId="0" fontId="27" fillId="0" borderId="6" xfId="62" applyFont="1" applyFill="1" applyBorder="1" applyAlignment="1">
      <alignment horizontal="left" vertical="center"/>
    </xf>
    <xf numFmtId="0" fontId="55" fillId="0" borderId="70" xfId="62" applyFont="1" applyFill="1" applyBorder="1" applyAlignment="1">
      <alignment horizontal="center" vertical="center"/>
    </xf>
    <xf numFmtId="0" fontId="55" fillId="0" borderId="2" xfId="62" applyFont="1" applyFill="1" applyBorder="1" applyAlignment="1">
      <alignment horizontal="center" vertical="center"/>
    </xf>
    <xf numFmtId="0" fontId="27" fillId="0" borderId="70"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7" xfId="0" applyFont="1" applyBorder="1" applyAlignment="1">
      <alignment horizontal="center" vertical="center"/>
    </xf>
    <xf numFmtId="0" fontId="43" fillId="0" borderId="3" xfId="0" applyFont="1" applyBorder="1" applyAlignment="1">
      <alignment horizontal="center" vertical="center"/>
    </xf>
    <xf numFmtId="0" fontId="27" fillId="0" borderId="0" xfId="49" applyFont="1" applyAlignment="1">
      <alignment horizontal="center"/>
    </xf>
    <xf numFmtId="0" fontId="68" fillId="0" borderId="0" xfId="1" applyFont="1" applyAlignment="1">
      <alignment horizontal="center" vertical="center"/>
    </xf>
    <xf numFmtId="0" fontId="61" fillId="0" borderId="0" xfId="1" applyFont="1" applyFill="1" applyBorder="1" applyAlignment="1">
      <alignment horizontal="center" vertical="center"/>
    </xf>
    <xf numFmtId="1" fontId="69" fillId="0" borderId="0" xfId="1" applyNumberFormat="1" applyFont="1" applyAlignment="1">
      <alignment horizontal="center" vertical="center" wrapText="1"/>
    </xf>
    <xf numFmtId="0" fontId="69" fillId="0" borderId="0" xfId="1" applyFont="1" applyAlignment="1">
      <alignment horizontal="center" vertical="center" wrapText="1"/>
    </xf>
    <xf numFmtId="0" fontId="60" fillId="0" borderId="66" xfId="1" applyFont="1" applyBorder="1" applyAlignment="1">
      <alignment horizontal="center" vertical="center" wrapText="1"/>
    </xf>
    <xf numFmtId="0" fontId="69" fillId="0" borderId="0" xfId="1" applyFont="1" applyAlignment="1">
      <alignment horizontal="center" vertical="center"/>
    </xf>
    <xf numFmtId="0" fontId="52" fillId="0" borderId="0" xfId="1" applyFont="1" applyAlignment="1">
      <alignment horizontal="center" vertical="center"/>
    </xf>
    <xf numFmtId="0" fontId="60" fillId="0" borderId="62" xfId="1" applyFont="1" applyBorder="1" applyAlignment="1">
      <alignment horizontal="center" vertical="center" wrapText="1"/>
    </xf>
    <xf numFmtId="0" fontId="60" fillId="0" borderId="59" xfId="1" applyFont="1" applyBorder="1" applyAlignment="1">
      <alignment horizontal="center" vertical="center" wrapText="1"/>
    </xf>
    <xf numFmtId="0" fontId="60" fillId="0" borderId="37" xfId="1" applyFont="1" applyBorder="1" applyAlignment="1">
      <alignment horizontal="center" vertical="center" wrapText="1"/>
    </xf>
    <xf numFmtId="0" fontId="61" fillId="0" borderId="0" xfId="1" applyFont="1" applyAlignment="1">
      <alignment horizontal="center" vertical="center"/>
    </xf>
    <xf numFmtId="0" fontId="68" fillId="0" borderId="0" xfId="1" applyFont="1" applyAlignment="1">
      <alignment horizontal="center" vertical="center" wrapText="1"/>
    </xf>
    <xf numFmtId="0" fontId="52" fillId="0" borderId="0" xfId="67" applyFont="1" applyFill="1" applyBorder="1" applyAlignment="1">
      <alignment horizontal="left" vertical="center" wrapText="1"/>
    </xf>
    <xf numFmtId="0" fontId="3" fillId="0" borderId="0" xfId="1" applyFont="1" applyFill="1" applyAlignment="1">
      <alignment horizontal="center" vertical="center"/>
    </xf>
    <xf numFmtId="0" fontId="42" fillId="0" borderId="0" xfId="1" applyFont="1" applyFill="1" applyAlignment="1">
      <alignment horizontal="center" vertical="center" wrapText="1"/>
    </xf>
    <xf numFmtId="0" fontId="54" fillId="0" borderId="40" xfId="67" applyFont="1" applyFill="1" applyBorder="1" applyAlignment="1">
      <alignment horizontal="center" vertical="center"/>
    </xf>
    <xf numFmtId="0" fontId="32" fillId="0" borderId="0" xfId="1" applyFont="1" applyFill="1" applyAlignment="1">
      <alignment horizontal="center" vertical="center"/>
    </xf>
    <xf numFmtId="0" fontId="42" fillId="0" borderId="0" xfId="1" applyFont="1" applyFill="1" applyAlignment="1">
      <alignment horizontal="center" vertical="center"/>
    </xf>
    <xf numFmtId="0" fontId="29" fillId="0" borderId="57" xfId="0" applyFont="1" applyFill="1" applyBorder="1" applyAlignment="1">
      <alignment horizontal="center" vertical="center" wrapText="1" shrinkToFit="1"/>
    </xf>
    <xf numFmtId="0" fontId="29" fillId="0" borderId="40"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74" xfId="2" applyFont="1" applyFill="1" applyBorder="1" applyAlignment="1">
      <alignment horizontal="center" vertical="center"/>
    </xf>
    <xf numFmtId="0" fontId="29" fillId="0" borderId="57" xfId="2" applyNumberFormat="1" applyFont="1" applyFill="1" applyBorder="1" applyAlignment="1">
      <alignment horizontal="center" vertical="center" wrapText="1" shrinkToFit="1"/>
    </xf>
    <xf numFmtId="0" fontId="29" fillId="0" borderId="5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57" xfId="2" applyFont="1" applyFill="1" applyBorder="1" applyAlignment="1">
      <alignment horizontal="center" vertical="center" wrapText="1" shrinkToFit="1"/>
    </xf>
    <xf numFmtId="0" fontId="29" fillId="0" borderId="74" xfId="2" applyFont="1" applyFill="1" applyBorder="1" applyAlignment="1">
      <alignment horizontal="center" vertical="center" wrapText="1"/>
    </xf>
    <xf numFmtId="0" fontId="29" fillId="0" borderId="76" xfId="52" applyFont="1" applyFill="1" applyBorder="1" applyAlignment="1">
      <alignment horizontal="center" vertical="center"/>
    </xf>
    <xf numFmtId="0" fontId="29" fillId="0" borderId="77" xfId="52" applyFont="1" applyFill="1" applyBorder="1" applyAlignment="1">
      <alignment horizontal="center" vertical="center"/>
    </xf>
    <xf numFmtId="0" fontId="29" fillId="0" borderId="62" xfId="52" applyFont="1" applyFill="1" applyBorder="1" applyAlignment="1">
      <alignment horizontal="center" vertical="center"/>
    </xf>
    <xf numFmtId="0" fontId="29" fillId="0" borderId="59" xfId="52" applyFont="1" applyFill="1" applyBorder="1" applyAlignment="1">
      <alignment horizontal="center" vertical="center"/>
    </xf>
    <xf numFmtId="0" fontId="29" fillId="0" borderId="66"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66" xfId="5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29" fillId="0" borderId="65"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74" xfId="2" applyFont="1" applyBorder="1" applyAlignment="1">
      <alignment horizontal="center" vertical="center"/>
    </xf>
    <xf numFmtId="0" fontId="60" fillId="0" borderId="75" xfId="2" applyFont="1" applyFill="1" applyBorder="1" applyAlignment="1">
      <alignment horizontal="center" vertical="center" wrapText="1"/>
    </xf>
    <xf numFmtId="0" fontId="60" fillId="0" borderId="6" xfId="2" applyFont="1" applyFill="1" applyBorder="1" applyAlignment="1">
      <alignment horizontal="center" vertical="center" wrapText="1"/>
    </xf>
    <xf numFmtId="0" fontId="60" fillId="0" borderId="2" xfId="2" applyFont="1" applyFill="1" applyBorder="1" applyAlignment="1">
      <alignment horizontal="center" vertical="center" wrapText="1"/>
    </xf>
    <xf numFmtId="0" fontId="3" fillId="0" borderId="0" xfId="2" applyFont="1" applyFill="1" applyAlignment="1">
      <alignment horizontal="left"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1" fontId="42" fillId="0" borderId="0" xfId="1" applyNumberFormat="1" applyFont="1" applyAlignment="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32" fillId="0" borderId="0" xfId="2" applyFont="1" applyFill="1" applyAlignment="1">
      <alignment horizontal="center"/>
    </xf>
  </cellXfs>
  <cellStyles count="12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вод  2 2 2" xfId="99"/>
    <cellStyle name="Ввод  2 3" xfId="106"/>
    <cellStyle name="Ввод  2 4" xfId="98"/>
    <cellStyle name="Ввод  2 5" xfId="109"/>
    <cellStyle name="Ввод  2 6" xfId="91"/>
    <cellStyle name="Ввод  2 7" xfId="85"/>
    <cellStyle name="Вывод 2" xfId="30"/>
    <cellStyle name="Вывод 2 2" xfId="81"/>
    <cellStyle name="Вывод 2 2 2" xfId="100"/>
    <cellStyle name="Вывод 2 3" xfId="105"/>
    <cellStyle name="Вывод 2 4" xfId="102"/>
    <cellStyle name="Вывод 2 5" xfId="110"/>
    <cellStyle name="Вывод 2 6" xfId="92"/>
    <cellStyle name="Вывод 2 7" xfId="86"/>
    <cellStyle name="Вычисление 2" xfId="31"/>
    <cellStyle name="Вычисление 2 2" xfId="82"/>
    <cellStyle name="Вычисление 2 2 2" xfId="101"/>
    <cellStyle name="Вычисление 2 3" xfId="97"/>
    <cellStyle name="Вычисление 2 4" xfId="103"/>
    <cellStyle name="Вычисление 2 5" xfId="111"/>
    <cellStyle name="Вычисление 2 6" xfId="93"/>
    <cellStyle name="Вычисление 2 7" xfId="87"/>
    <cellStyle name="Гиперссылка" xfId="123" builtinId="8"/>
    <cellStyle name="Заголовок 1 2" xfId="32"/>
    <cellStyle name="Заголовок 2 2" xfId="33"/>
    <cellStyle name="Заголовок 3 2" xfId="34"/>
    <cellStyle name="Заголовок 4 2" xfId="35"/>
    <cellStyle name="Итог 2" xfId="36"/>
    <cellStyle name="Итог 2 2" xfId="83"/>
    <cellStyle name="Итог 2 2 2" xfId="104"/>
    <cellStyle name="Итог 2 3" xfId="96"/>
    <cellStyle name="Итог 2 4" xfId="108"/>
    <cellStyle name="Итог 2 5" xfId="112"/>
    <cellStyle name="Итог 2 6" xfId="94"/>
    <cellStyle name="Итог 2 7" xfId="88"/>
    <cellStyle name="Контрольная ячейка 2" xfId="37"/>
    <cellStyle name="Название 2" xfId="38"/>
    <cellStyle name="Нейтральный 2" xfId="39"/>
    <cellStyle name="Обычный" xfId="0" builtinId="0"/>
    <cellStyle name="Обычный 12 2" xfId="40"/>
    <cellStyle name="Обычный 19" xfId="118"/>
    <cellStyle name="Обычный 2" xfId="3"/>
    <cellStyle name="Обычный 2 10" xfId="125"/>
    <cellStyle name="Обычный 2 2" xfId="62"/>
    <cellStyle name="Обычный 2 2 2" xfId="71"/>
    <cellStyle name="Обычный 2 3" xfId="72"/>
    <cellStyle name="Обычный 2 3 2" xfId="77"/>
    <cellStyle name="Обычный 2 4" xfId="75"/>
    <cellStyle name="Обычный 2 5" xfId="90"/>
    <cellStyle name="Обычный 3" xfId="2"/>
    <cellStyle name="Обычный 3 2" xfId="41"/>
    <cellStyle name="Обычный 3 2 2 2" xfId="42"/>
    <cellStyle name="Обычный 3 21" xfId="63"/>
    <cellStyle name="Обычный 3 7" xfId="124"/>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121"/>
    <cellStyle name="Обычный_Форматы по компаниям_last" xfId="52"/>
    <cellStyle name="Плохой 2" xfId="53"/>
    <cellStyle name="Пояснение 2" xfId="54"/>
    <cellStyle name="Примечание 2" xfId="55"/>
    <cellStyle name="Примечание 2 2" xfId="84"/>
    <cellStyle name="Примечание 2 2 2" xfId="107"/>
    <cellStyle name="Примечание 2 3" xfId="113"/>
    <cellStyle name="Примечание 2 4" xfId="95"/>
    <cellStyle name="Примечание 2 5" xfId="89"/>
    <cellStyle name="Процентный" xfId="120" builtinId="5"/>
    <cellStyle name="Процентный 2" xfId="64"/>
    <cellStyle name="Процентный 2 2" xfId="73"/>
    <cellStyle name="Процентный 3" xfId="65"/>
    <cellStyle name="Процентный 4" xfId="68"/>
    <cellStyle name="Процентный 4 2" xfId="114"/>
    <cellStyle name="Связанная ячейка 2" xfId="56"/>
    <cellStyle name="Стиль 1" xfId="66"/>
    <cellStyle name="Текст предупреждения 2" xfId="57"/>
    <cellStyle name="Финансовый" xfId="119" builtinId="3"/>
    <cellStyle name="Финансовый 2" xfId="58"/>
    <cellStyle name="Финансовый 2 2" xfId="78"/>
    <cellStyle name="Финансовый 2 2 2" xfId="115"/>
    <cellStyle name="Финансовый 2 2 2 2 2" xfId="59"/>
    <cellStyle name="Финансовый 2 3" xfId="76"/>
    <cellStyle name="Финансовый 2 4" xfId="74"/>
    <cellStyle name="Финансовый 3" xfId="60"/>
    <cellStyle name="Финансовый 3 2" xfId="70"/>
    <cellStyle name="Финансовый 3 2 2" xfId="116"/>
    <cellStyle name="Финансовый 4" xfId="79"/>
    <cellStyle name="Финансовый 4 2" xfId="122"/>
    <cellStyle name="Финансовый 5" xfId="117"/>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v>PV</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-75862848.360543877</c:v>
              </c:pt>
              <c:pt idx="2">
                <c:v>-160157683.9958483</c:v>
              </c:pt>
              <c:pt idx="3">
                <c:v>-128072437.23775405</c:v>
              </c:pt>
              <c:pt idx="4">
                <c:v>14698942.588227829</c:v>
              </c:pt>
              <c:pt idx="5">
                <c:v>15988400.672099266</c:v>
              </c:pt>
              <c:pt idx="6">
                <c:v>18902021.292494152</c:v>
              </c:pt>
              <c:pt idx="7">
                <c:v>16683461.951737875</c:v>
              </c:pt>
              <c:pt idx="8">
                <c:v>14429623.294498907</c:v>
              </c:pt>
              <c:pt idx="9">
                <c:v>12479500.82425195</c:v>
              </c:pt>
              <c:pt idx="10">
                <c:v>10786069.915672906</c:v>
              </c:pt>
              <c:pt idx="11">
                <c:v>9330866.1765171848</c:v>
              </c:pt>
              <c:pt idx="12">
                <c:v>8072600.1752485773</c:v>
              </c:pt>
              <c:pt idx="13">
                <c:v>6984009.5998705598</c:v>
              </c:pt>
              <c:pt idx="14">
                <c:v>5295256.0131027671</c:v>
              </c:pt>
              <c:pt idx="15">
                <c:v>4427528.5665544169</c:v>
              </c:pt>
              <c:pt idx="16">
                <c:v>3830473.5224550297</c:v>
              </c:pt>
              <c:pt idx="17">
                <c:v>3313930.9837302924</c:v>
              </c:pt>
              <c:pt idx="18">
                <c:v>2867043.9887087308</c:v>
              </c:pt>
              <c:pt idx="19">
                <c:v>2480419.603393821</c:v>
              </c:pt>
              <c:pt idx="20">
                <c:v>2145931.5036628186</c:v>
              </c:pt>
              <c:pt idx="21">
                <c:v>1856549.1781612632</c:v>
              </c:pt>
              <c:pt idx="22">
                <c:v>1606190.1622722757</c:v>
              </c:pt>
              <c:pt idx="23">
                <c:v>1389592.197571604</c:v>
              </c:pt>
              <c:pt idx="24">
                <c:v>1202202.6299438223</c:v>
              </c:pt>
              <c:pt idx="25">
                <c:v>1040082.7218330385</c:v>
              </c:pt>
              <c:pt idx="26">
                <c:v>899824.8675466493</c:v>
              </c:pt>
              <c:pt idx="27">
                <c:v>778480.97171049751</c:v>
              </c:pt>
              <c:pt idx="28">
                <c:v>673500.48558730248</c:v>
              </c:pt>
              <c:pt idx="29">
                <c:v>582676.7989480336</c:v>
              </c:pt>
              <c:pt idx="30">
                <c:v>504100.86079377681</c:v>
              </c:pt>
              <c:pt idx="31">
                <c:v>436121.05415419291</c:v>
              </c:pt>
              <c:pt idx="32">
                <c:v>377308.48163079499</c:v>
              </c:pt>
              <c:pt idx="33">
                <c:v>326426.93207143829</c:v>
              </c:pt>
              <c:pt idx="34">
                <c:v>282406.89714650286</c:v>
              </c:pt>
              <c:pt idx="35">
                <c:v>244323.09171493727</c:v>
              </c:pt>
            </c:numLit>
          </c:val>
          <c:smooth val="0"/>
          <c:extLst>
            <c:ext xmlns:c16="http://schemas.microsoft.com/office/drawing/2014/chart" uri="{C3380CC4-5D6E-409C-BE32-E72D297353CC}">
              <c16:uniqueId val="{00000000-F859-438A-9F65-8B55F4E28E6B}"/>
            </c:ext>
          </c:extLst>
        </c:ser>
        <c:ser>
          <c:idx val="1"/>
          <c:order val="1"/>
          <c:tx>
            <c:v>NPV (без учета продажи)</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-168427956.19715607</c:v>
              </c:pt>
              <c:pt idx="2">
                <c:v>-328585640.19300437</c:v>
              </c:pt>
              <c:pt idx="3">
                <c:v>-456658077.43075842</c:v>
              </c:pt>
              <c:pt idx="4">
                <c:v>-441959134.84253061</c:v>
              </c:pt>
              <c:pt idx="5">
                <c:v>-425970734.17043132</c:v>
              </c:pt>
              <c:pt idx="6">
                <c:v>-407068712.87793714</c:v>
              </c:pt>
              <c:pt idx="7">
                <c:v>-390385250.92619926</c:v>
              </c:pt>
              <c:pt idx="8">
                <c:v>-375955627.63170034</c:v>
              </c:pt>
              <c:pt idx="9">
                <c:v>-363476126.80744839</c:v>
              </c:pt>
              <c:pt idx="10">
                <c:v>-352690056.89177549</c:v>
              </c:pt>
              <c:pt idx="11">
                <c:v>-343359190.7152583</c:v>
              </c:pt>
              <c:pt idx="12">
                <c:v>-335286590.54000974</c:v>
              </c:pt>
              <c:pt idx="13">
                <c:v>-328302580.94013917</c:v>
              </c:pt>
              <c:pt idx="14">
                <c:v>-323007324.9270364</c:v>
              </c:pt>
              <c:pt idx="15">
                <c:v>-318579796.36048198</c:v>
              </c:pt>
              <c:pt idx="16">
                <c:v>-314749322.83802694</c:v>
              </c:pt>
              <c:pt idx="17">
                <c:v>-311435391.85429662</c:v>
              </c:pt>
              <c:pt idx="18">
                <c:v>-308568347.86558789</c:v>
              </c:pt>
              <c:pt idx="19">
                <c:v>-306087928.2621941</c:v>
              </c:pt>
              <c:pt idx="20">
                <c:v>-303941996.75853127</c:v>
              </c:pt>
              <c:pt idx="21">
                <c:v>-302085447.58037001</c:v>
              </c:pt>
              <c:pt idx="22">
                <c:v>-300479257.41809773</c:v>
              </c:pt>
              <c:pt idx="23">
                <c:v>-299089665.22052616</c:v>
              </c:pt>
              <c:pt idx="24">
                <c:v>-297887462.59058231</c:v>
              </c:pt>
              <c:pt idx="25">
                <c:v>-296847379.86874926</c:v>
              </c:pt>
              <c:pt idx="26">
                <c:v>-295947555.00120258</c:v>
              </c:pt>
              <c:pt idx="27">
                <c:v>-295169074.02949208</c:v>
              </c:pt>
              <c:pt idx="28">
                <c:v>-294495573.54390478</c:v>
              </c:pt>
              <c:pt idx="29">
                <c:v>-293912896.74495673</c:v>
              </c:pt>
              <c:pt idx="30">
                <c:v>-293408795.88416296</c:v>
              </c:pt>
              <c:pt idx="31">
                <c:v>-292972674.83000875</c:v>
              </c:pt>
              <c:pt idx="32">
                <c:v>-292595366.34837794</c:v>
              </c:pt>
              <c:pt idx="33">
                <c:v>-292268939.4163065</c:v>
              </c:pt>
              <c:pt idx="34">
                <c:v>-291986532.51915997</c:v>
              </c:pt>
              <c:pt idx="35">
                <c:v>-291742209.42744505</c:v>
              </c:pt>
            </c:numLit>
          </c:val>
          <c:smooth val="0"/>
          <c:extLst>
            <c:ext xmlns:c16="http://schemas.microsoft.com/office/drawing/2014/chart" uri="{C3380CC4-5D6E-409C-BE32-E72D297353CC}">
              <c16:uniqueId val="{00000001-F859-438A-9F65-8B55F4E28E6B}"/>
            </c:ext>
          </c:extLst>
        </c:ser>
        <c:dLbls>
          <c:showLegendKey val="0"/>
          <c:showVal val="0"/>
          <c:showCatName val="0"/>
          <c:showSerName val="0"/>
          <c:showPercent val="0"/>
          <c:showBubbleSize val="0"/>
        </c:dLbls>
        <c:smooth val="0"/>
        <c:axId val="818259192"/>
        <c:axId val="818259584"/>
      </c:lineChart>
      <c:catAx>
        <c:axId val="818259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259584"/>
        <c:crosses val="autoZero"/>
        <c:auto val="1"/>
        <c:lblAlgn val="ctr"/>
        <c:lblOffset val="100"/>
        <c:noMultiLvlLbl val="0"/>
      </c:catAx>
      <c:valAx>
        <c:axId val="818259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259192"/>
        <c:crosses val="autoZero"/>
        <c:crossBetween val="between"/>
      </c:valAx>
    </c:plotArea>
    <c:legend>
      <c:legendPos val="r"/>
      <c:layout>
        <c:manualLayout>
          <c:xMode val="edge"/>
          <c:yMode val="edge"/>
          <c:x val="0.30638308729027458"/>
          <c:y val="0.898042621215558"/>
          <c:w val="0.3521278977430373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8D-4422-AE16-52F01FADBC0C}"/>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8D-4422-AE16-52F01FADBC0C}"/>
            </c:ext>
          </c:extLst>
        </c:ser>
        <c:dLbls>
          <c:showLegendKey val="0"/>
          <c:showVal val="0"/>
          <c:showCatName val="0"/>
          <c:showSerName val="0"/>
          <c:showPercent val="0"/>
          <c:showBubbleSize val="0"/>
        </c:dLbls>
        <c:smooth val="0"/>
        <c:axId val="818258800"/>
        <c:axId val="818264680"/>
      </c:lineChart>
      <c:catAx>
        <c:axId val="818258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264680"/>
        <c:crosses val="autoZero"/>
        <c:auto val="1"/>
        <c:lblAlgn val="ctr"/>
        <c:lblOffset val="100"/>
        <c:noMultiLvlLbl val="0"/>
      </c:catAx>
      <c:valAx>
        <c:axId val="818264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25880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7E9-4104-BF97-FD0FE944DF30}"/>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7E9-4104-BF97-FD0FE944DF30}"/>
            </c:ext>
          </c:extLst>
        </c:ser>
        <c:dLbls>
          <c:showLegendKey val="0"/>
          <c:showVal val="0"/>
          <c:showCatName val="0"/>
          <c:showSerName val="0"/>
          <c:showPercent val="0"/>
          <c:showBubbleSize val="0"/>
        </c:dLbls>
        <c:smooth val="0"/>
        <c:axId val="818261152"/>
        <c:axId val="818265464"/>
      </c:lineChart>
      <c:catAx>
        <c:axId val="81826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265464"/>
        <c:crosses val="autoZero"/>
        <c:auto val="1"/>
        <c:lblAlgn val="ctr"/>
        <c:lblOffset val="100"/>
        <c:noMultiLvlLbl val="0"/>
      </c:catAx>
      <c:valAx>
        <c:axId val="818265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26115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188-4044-B8D5-D508A64CB0D5}"/>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188-4044-B8D5-D508A64CB0D5}"/>
            </c:ext>
          </c:extLst>
        </c:ser>
        <c:dLbls>
          <c:showLegendKey val="0"/>
          <c:showVal val="0"/>
          <c:showCatName val="0"/>
          <c:showSerName val="0"/>
          <c:showPercent val="0"/>
          <c:showBubbleSize val="0"/>
        </c:dLbls>
        <c:smooth val="0"/>
        <c:axId val="818265072"/>
        <c:axId val="572735456"/>
      </c:lineChart>
      <c:catAx>
        <c:axId val="818265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2735456"/>
        <c:crosses val="autoZero"/>
        <c:auto val="1"/>
        <c:lblAlgn val="ctr"/>
        <c:lblOffset val="100"/>
        <c:noMultiLvlLbl val="0"/>
      </c:catAx>
      <c:valAx>
        <c:axId val="572735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26507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2B0-4CCC-9C3A-66B7EE1FBA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2B0-4CCC-9C3A-66B7EE1FBA64}"/>
            </c:ext>
          </c:extLst>
        </c:ser>
        <c:dLbls>
          <c:showLegendKey val="0"/>
          <c:showVal val="0"/>
          <c:showCatName val="0"/>
          <c:showSerName val="0"/>
          <c:showPercent val="0"/>
          <c:showBubbleSize val="0"/>
        </c:dLbls>
        <c:smooth val="0"/>
        <c:axId val="572736240"/>
        <c:axId val="752188600"/>
      </c:lineChart>
      <c:catAx>
        <c:axId val="572736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2188600"/>
        <c:crosses val="autoZero"/>
        <c:auto val="1"/>
        <c:lblAlgn val="ctr"/>
        <c:lblOffset val="100"/>
        <c:noMultiLvlLbl val="0"/>
      </c:catAx>
      <c:valAx>
        <c:axId val="752188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273624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171450</xdr:colOff>
      <xdr:row>34</xdr:row>
      <xdr:rowOff>85726</xdr:rowOff>
    </xdr:from>
    <xdr:to>
      <xdr:col>9</xdr:col>
      <xdr:colOff>473652</xdr:colOff>
      <xdr:row>42</xdr:row>
      <xdr:rowOff>66676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19-1035/L_19-1035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6">
          <cell r="C26" t="str">
            <v>Калининградская область</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ow r="24">
          <cell r="D24">
            <v>248.21883817</v>
          </cell>
        </row>
      </sheetData>
      <sheetData sheetId="10">
        <row r="37">
          <cell r="AD37">
            <v>6305.7926299999999</v>
          </cell>
        </row>
      </sheetData>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view="pageBreakPreview" zoomScale="80" zoomScaleSheetLayoutView="80" workbookViewId="0">
      <selection activeCell="A15" sqref="A15:C15"/>
    </sheetView>
  </sheetViews>
  <sheetFormatPr defaultColWidth="9.140625" defaultRowHeight="15" x14ac:dyDescent="0.25"/>
  <cols>
    <col min="1" max="1" width="6.140625" style="68" customWidth="1"/>
    <col min="2" max="2" width="53.5703125" style="68" customWidth="1"/>
    <col min="3" max="3" width="91.42578125" style="208" customWidth="1"/>
    <col min="4" max="4" width="36.5703125" style="68" customWidth="1"/>
    <col min="5" max="5" width="20" style="68" customWidth="1"/>
    <col min="6" max="6" width="25.5703125" style="68" customWidth="1"/>
    <col min="7" max="7" width="16.42578125" style="68" customWidth="1"/>
    <col min="8" max="16384" width="9.140625" style="68"/>
  </cols>
  <sheetData>
    <row r="1" spans="1:20" s="2" customFormat="1" ht="18.75" customHeight="1" x14ac:dyDescent="0.2">
      <c r="C1" s="4" t="s">
        <v>65</v>
      </c>
      <c r="D1" s="69"/>
      <c r="E1" s="69"/>
    </row>
    <row r="2" spans="1:20" s="2" customFormat="1" ht="18.75" customHeight="1" x14ac:dyDescent="0.3">
      <c r="C2" s="1" t="s">
        <v>7</v>
      </c>
      <c r="D2" s="69"/>
      <c r="E2" s="69"/>
    </row>
    <row r="3" spans="1:20" s="2" customFormat="1" ht="18.75" x14ac:dyDescent="0.3">
      <c r="A3" s="70"/>
      <c r="C3" s="1" t="s">
        <v>64</v>
      </c>
      <c r="D3" s="69"/>
      <c r="E3" s="69"/>
    </row>
    <row r="4" spans="1:20" s="2" customFormat="1" ht="18.75" x14ac:dyDescent="0.3">
      <c r="A4" s="70"/>
      <c r="C4" s="202"/>
      <c r="D4" s="69"/>
      <c r="E4" s="69"/>
      <c r="F4" s="1"/>
    </row>
    <row r="5" spans="1:20" s="2" customFormat="1" ht="15.75" x14ac:dyDescent="0.25">
      <c r="A5" s="409" t="s">
        <v>859</v>
      </c>
      <c r="B5" s="409"/>
      <c r="C5" s="409"/>
      <c r="D5" s="42"/>
      <c r="E5" s="42"/>
      <c r="F5" s="42"/>
      <c r="G5" s="42"/>
      <c r="H5" s="42"/>
    </row>
    <row r="6" spans="1:20" s="2" customFormat="1" ht="18.75" x14ac:dyDescent="0.3">
      <c r="A6" s="70"/>
      <c r="C6" s="202"/>
      <c r="D6" s="69"/>
      <c r="E6" s="69"/>
      <c r="F6" s="1"/>
    </row>
    <row r="7" spans="1:20" s="2" customFormat="1" ht="18.75" x14ac:dyDescent="0.2">
      <c r="A7" s="411" t="s">
        <v>6</v>
      </c>
      <c r="B7" s="411"/>
      <c r="C7" s="411"/>
      <c r="D7" s="71"/>
      <c r="E7" s="71"/>
      <c r="F7" s="71"/>
      <c r="G7" s="71"/>
      <c r="H7" s="71"/>
      <c r="I7" s="71"/>
      <c r="J7" s="71"/>
      <c r="K7" s="71"/>
      <c r="L7" s="71"/>
      <c r="M7" s="71"/>
      <c r="N7" s="71"/>
      <c r="O7" s="71"/>
      <c r="P7" s="71"/>
      <c r="Q7" s="71"/>
      <c r="R7" s="71"/>
      <c r="S7" s="71"/>
      <c r="T7" s="71"/>
    </row>
    <row r="8" spans="1:20" s="2" customFormat="1" ht="18.75" x14ac:dyDescent="0.2">
      <c r="A8" s="72"/>
      <c r="B8" s="72"/>
      <c r="C8" s="203"/>
      <c r="D8" s="72"/>
      <c r="E8" s="72"/>
      <c r="F8" s="72"/>
      <c r="G8" s="71"/>
      <c r="H8" s="71"/>
      <c r="I8" s="71"/>
      <c r="J8" s="71"/>
      <c r="K8" s="71"/>
      <c r="L8" s="71"/>
      <c r="M8" s="71"/>
      <c r="N8" s="71"/>
      <c r="O8" s="71"/>
      <c r="P8" s="71"/>
      <c r="Q8" s="71"/>
      <c r="R8" s="71"/>
      <c r="S8" s="71"/>
      <c r="T8" s="71"/>
    </row>
    <row r="9" spans="1:20" s="2" customFormat="1" ht="18.75" x14ac:dyDescent="0.2">
      <c r="A9" s="414" t="s">
        <v>857</v>
      </c>
      <c r="B9" s="414"/>
      <c r="C9" s="414"/>
      <c r="D9" s="73"/>
      <c r="E9" s="73"/>
      <c r="F9" s="73"/>
      <c r="G9" s="71"/>
      <c r="H9" s="71"/>
      <c r="I9" s="71"/>
      <c r="J9" s="71"/>
      <c r="K9" s="71"/>
      <c r="L9" s="71"/>
      <c r="M9" s="71"/>
      <c r="N9" s="71"/>
      <c r="O9" s="71"/>
      <c r="P9" s="71"/>
      <c r="Q9" s="71"/>
      <c r="R9" s="71"/>
      <c r="S9" s="71"/>
      <c r="T9" s="71"/>
    </row>
    <row r="10" spans="1:20" s="2" customFormat="1" ht="18.75" x14ac:dyDescent="0.2">
      <c r="A10" s="412" t="s">
        <v>5</v>
      </c>
      <c r="B10" s="412"/>
      <c r="C10" s="412"/>
      <c r="D10" s="74"/>
      <c r="E10" s="74"/>
      <c r="F10" s="74"/>
      <c r="G10" s="71"/>
      <c r="H10" s="71"/>
      <c r="I10" s="71"/>
      <c r="J10" s="71"/>
      <c r="K10" s="71"/>
      <c r="L10" s="71"/>
      <c r="M10" s="71"/>
      <c r="N10" s="71"/>
      <c r="O10" s="71"/>
      <c r="P10" s="71"/>
      <c r="Q10" s="71"/>
      <c r="R10" s="71"/>
      <c r="S10" s="71"/>
      <c r="T10" s="71"/>
    </row>
    <row r="11" spans="1:20" s="2" customFormat="1" ht="18.75" x14ac:dyDescent="0.2">
      <c r="A11" s="72"/>
      <c r="B11" s="72"/>
      <c r="C11" s="203"/>
      <c r="D11" s="72"/>
      <c r="E11" s="72"/>
      <c r="F11" s="72"/>
      <c r="G11" s="71"/>
      <c r="H11" s="71"/>
      <c r="I11" s="71"/>
      <c r="J11" s="71"/>
      <c r="K11" s="71"/>
      <c r="L11" s="71"/>
      <c r="M11" s="71"/>
      <c r="N11" s="71"/>
      <c r="O11" s="71"/>
      <c r="P11" s="71"/>
      <c r="Q11" s="71"/>
      <c r="R11" s="71"/>
      <c r="S11" s="71"/>
      <c r="T11" s="71"/>
    </row>
    <row r="12" spans="1:20" s="264" customFormat="1" ht="18.75" x14ac:dyDescent="0.2">
      <c r="A12" s="413" t="s">
        <v>682</v>
      </c>
      <c r="B12" s="413"/>
      <c r="C12" s="413"/>
      <c r="D12" s="262"/>
      <c r="E12" s="262"/>
      <c r="F12" s="262"/>
      <c r="G12" s="263"/>
      <c r="H12" s="263"/>
      <c r="I12" s="263"/>
      <c r="J12" s="263"/>
      <c r="K12" s="263"/>
      <c r="L12" s="263"/>
      <c r="M12" s="263"/>
      <c r="N12" s="263"/>
      <c r="O12" s="263"/>
      <c r="P12" s="263"/>
      <c r="Q12" s="263"/>
      <c r="R12" s="263"/>
      <c r="S12" s="263"/>
      <c r="T12" s="263"/>
    </row>
    <row r="13" spans="1:20" s="2" customFormat="1" ht="18.75" x14ac:dyDescent="0.2">
      <c r="A13" s="412" t="s">
        <v>4</v>
      </c>
      <c r="B13" s="412"/>
      <c r="C13" s="412"/>
      <c r="D13" s="74"/>
      <c r="E13" s="74"/>
      <c r="F13" s="74"/>
      <c r="G13" s="71"/>
      <c r="H13" s="71"/>
      <c r="I13" s="71"/>
      <c r="J13" s="71"/>
      <c r="K13" s="71"/>
      <c r="L13" s="71"/>
      <c r="M13" s="71"/>
      <c r="N13" s="71"/>
      <c r="O13" s="71"/>
      <c r="P13" s="71"/>
      <c r="Q13" s="71"/>
      <c r="R13" s="71"/>
      <c r="S13" s="71"/>
      <c r="T13" s="71"/>
    </row>
    <row r="14" spans="1:20" s="76" customFormat="1" ht="15.75" customHeight="1" x14ac:dyDescent="0.2">
      <c r="A14" s="75"/>
      <c r="B14" s="75"/>
      <c r="C14" s="204"/>
      <c r="D14" s="75"/>
      <c r="E14" s="75"/>
      <c r="F14" s="75"/>
      <c r="G14" s="75"/>
      <c r="H14" s="75"/>
      <c r="I14" s="75"/>
      <c r="J14" s="75"/>
      <c r="K14" s="75"/>
      <c r="L14" s="75"/>
      <c r="M14" s="75"/>
      <c r="N14" s="75"/>
      <c r="O14" s="75"/>
      <c r="P14" s="75"/>
      <c r="Q14" s="75"/>
      <c r="R14" s="75"/>
      <c r="S14" s="75"/>
      <c r="T14" s="75"/>
    </row>
    <row r="15" spans="1:20" s="77" customFormat="1" ht="108.75" customHeight="1" x14ac:dyDescent="0.2">
      <c r="A15" s="410" t="s">
        <v>717</v>
      </c>
      <c r="B15" s="410"/>
      <c r="C15" s="410"/>
      <c r="D15" s="261"/>
      <c r="E15" s="261"/>
      <c r="F15" s="261"/>
      <c r="G15" s="261"/>
      <c r="H15" s="261"/>
      <c r="I15" s="261"/>
      <c r="J15" s="73"/>
      <c r="K15" s="73"/>
      <c r="L15" s="73"/>
      <c r="M15" s="73"/>
      <c r="N15" s="73"/>
      <c r="O15" s="73"/>
      <c r="P15" s="73"/>
      <c r="Q15" s="73"/>
      <c r="R15" s="73"/>
      <c r="S15" s="73"/>
      <c r="T15" s="73"/>
    </row>
    <row r="16" spans="1:20" s="77" customFormat="1" ht="15" customHeight="1" x14ac:dyDescent="0.2">
      <c r="A16" s="412" t="s">
        <v>3</v>
      </c>
      <c r="B16" s="412"/>
      <c r="C16" s="412"/>
      <c r="D16" s="74"/>
      <c r="E16" s="74"/>
      <c r="F16" s="74"/>
      <c r="G16" s="74"/>
      <c r="H16" s="74"/>
      <c r="I16" s="74"/>
      <c r="J16" s="74"/>
      <c r="K16" s="74"/>
      <c r="L16" s="74"/>
      <c r="M16" s="74"/>
      <c r="N16" s="74"/>
      <c r="O16" s="74"/>
      <c r="P16" s="74"/>
      <c r="Q16" s="74"/>
      <c r="R16" s="74"/>
      <c r="S16" s="74"/>
      <c r="T16" s="74"/>
    </row>
    <row r="17" spans="1:20" s="77" customFormat="1" ht="15" customHeight="1" x14ac:dyDescent="0.2">
      <c r="A17" s="78"/>
      <c r="B17" s="78"/>
      <c r="C17" s="205"/>
      <c r="D17" s="78"/>
      <c r="E17" s="78"/>
      <c r="F17" s="78"/>
      <c r="G17" s="78"/>
      <c r="H17" s="78"/>
      <c r="I17" s="78"/>
      <c r="J17" s="78"/>
      <c r="K17" s="78"/>
      <c r="L17" s="78"/>
      <c r="M17" s="78"/>
      <c r="N17" s="78"/>
      <c r="O17" s="78"/>
      <c r="P17" s="78"/>
      <c r="Q17" s="78"/>
    </row>
    <row r="18" spans="1:20" s="77" customFormat="1" ht="15" customHeight="1" x14ac:dyDescent="0.2">
      <c r="A18" s="418" t="s">
        <v>363</v>
      </c>
      <c r="B18" s="419"/>
      <c r="C18" s="419"/>
      <c r="D18" s="79"/>
      <c r="E18" s="79"/>
      <c r="F18" s="79"/>
      <c r="G18" s="79"/>
      <c r="H18" s="79"/>
      <c r="I18" s="79"/>
      <c r="J18" s="79"/>
      <c r="K18" s="79"/>
      <c r="L18" s="79"/>
      <c r="M18" s="79"/>
      <c r="N18" s="79"/>
      <c r="O18" s="79"/>
      <c r="P18" s="79"/>
      <c r="Q18" s="79"/>
      <c r="R18" s="79"/>
      <c r="S18" s="79"/>
      <c r="T18" s="79"/>
    </row>
    <row r="19" spans="1:20" s="77" customFormat="1" ht="15" customHeight="1" x14ac:dyDescent="0.2">
      <c r="A19" s="74"/>
      <c r="B19" s="74"/>
      <c r="C19" s="206"/>
      <c r="D19" s="74"/>
      <c r="E19" s="74"/>
      <c r="F19" s="74"/>
      <c r="G19" s="78"/>
      <c r="H19" s="78"/>
      <c r="I19" s="78"/>
      <c r="J19" s="78"/>
      <c r="K19" s="78"/>
      <c r="L19" s="78"/>
      <c r="M19" s="78"/>
      <c r="N19" s="78"/>
      <c r="O19" s="78"/>
      <c r="P19" s="78"/>
      <c r="Q19" s="78"/>
    </row>
    <row r="20" spans="1:20" s="77" customFormat="1" ht="39.75" customHeight="1" x14ac:dyDescent="0.2">
      <c r="A20" s="80" t="s">
        <v>2</v>
      </c>
      <c r="B20" s="81" t="s">
        <v>63</v>
      </c>
      <c r="C20" s="82" t="s">
        <v>62</v>
      </c>
      <c r="D20" s="83"/>
      <c r="E20" s="83"/>
      <c r="F20" s="83"/>
      <c r="G20" s="84"/>
      <c r="H20" s="84"/>
      <c r="I20" s="84"/>
      <c r="J20" s="84"/>
      <c r="K20" s="84"/>
      <c r="L20" s="84"/>
      <c r="M20" s="84"/>
      <c r="N20" s="84"/>
      <c r="O20" s="84"/>
      <c r="P20" s="84"/>
      <c r="Q20" s="84"/>
      <c r="R20" s="85"/>
      <c r="S20" s="85"/>
      <c r="T20" s="85"/>
    </row>
    <row r="21" spans="1:20" s="77" customFormat="1" ht="16.5" customHeight="1" x14ac:dyDescent="0.2">
      <c r="A21" s="82">
        <v>1</v>
      </c>
      <c r="B21" s="81">
        <v>2</v>
      </c>
      <c r="C21" s="82">
        <v>3</v>
      </c>
      <c r="D21" s="83"/>
      <c r="E21" s="83"/>
      <c r="F21" s="83"/>
      <c r="G21" s="84"/>
      <c r="H21" s="84"/>
      <c r="I21" s="84"/>
      <c r="J21" s="84"/>
      <c r="K21" s="84"/>
      <c r="L21" s="84"/>
      <c r="M21" s="84"/>
      <c r="N21" s="84"/>
      <c r="O21" s="84"/>
      <c r="P21" s="84"/>
      <c r="Q21" s="84"/>
      <c r="R21" s="85"/>
      <c r="S21" s="85"/>
      <c r="T21" s="85"/>
    </row>
    <row r="22" spans="1:20" s="77" customFormat="1" ht="55.5" customHeight="1" x14ac:dyDescent="0.2">
      <c r="A22" s="86" t="s">
        <v>61</v>
      </c>
      <c r="B22" s="87" t="s">
        <v>255</v>
      </c>
      <c r="C22" s="94" t="s">
        <v>529</v>
      </c>
      <c r="D22" s="83"/>
      <c r="E22" s="83"/>
      <c r="F22" s="83"/>
      <c r="G22" s="84"/>
      <c r="H22" s="84"/>
      <c r="I22" s="84"/>
      <c r="J22" s="84"/>
      <c r="K22" s="84"/>
      <c r="L22" s="84"/>
      <c r="M22" s="84"/>
      <c r="N22" s="84"/>
      <c r="O22" s="84"/>
      <c r="P22" s="84"/>
      <c r="Q22" s="84"/>
      <c r="R22" s="85"/>
      <c r="S22" s="85"/>
      <c r="T22" s="85"/>
    </row>
    <row r="23" spans="1:20" s="77" customFormat="1" ht="47.25" x14ac:dyDescent="0.2">
      <c r="A23" s="86" t="s">
        <v>60</v>
      </c>
      <c r="B23" s="88" t="s">
        <v>533</v>
      </c>
      <c r="C23" s="94" t="s">
        <v>686</v>
      </c>
      <c r="D23" s="83"/>
      <c r="E23" s="83"/>
      <c r="F23" s="83"/>
      <c r="G23" s="84"/>
      <c r="H23" s="84"/>
      <c r="I23" s="84"/>
      <c r="J23" s="84"/>
      <c r="K23" s="84"/>
      <c r="L23" s="84"/>
      <c r="M23" s="84"/>
      <c r="N23" s="84"/>
      <c r="O23" s="84"/>
      <c r="P23" s="84"/>
      <c r="Q23" s="84"/>
      <c r="R23" s="85"/>
      <c r="S23" s="85"/>
      <c r="T23" s="85"/>
    </row>
    <row r="24" spans="1:20" s="77" customFormat="1" ht="22.5" customHeight="1" x14ac:dyDescent="0.2">
      <c r="A24" s="415"/>
      <c r="B24" s="416"/>
      <c r="C24" s="417"/>
      <c r="D24" s="83"/>
      <c r="E24" s="83"/>
      <c r="F24" s="83"/>
      <c r="G24" s="84"/>
      <c r="H24" s="84"/>
      <c r="I24" s="84"/>
      <c r="J24" s="84"/>
      <c r="K24" s="84"/>
      <c r="L24" s="84"/>
      <c r="M24" s="84"/>
      <c r="N24" s="84"/>
      <c r="O24" s="84"/>
      <c r="P24" s="84"/>
      <c r="Q24" s="84"/>
      <c r="R24" s="85"/>
      <c r="S24" s="85"/>
      <c r="T24" s="85"/>
    </row>
    <row r="25" spans="1:20" s="93" customFormat="1" ht="58.5" customHeight="1" x14ac:dyDescent="0.2">
      <c r="A25" s="86" t="s">
        <v>59</v>
      </c>
      <c r="B25" s="89" t="s">
        <v>312</v>
      </c>
      <c r="C25" s="94" t="s">
        <v>536</v>
      </c>
      <c r="D25" s="90"/>
      <c r="E25" s="90"/>
      <c r="F25" s="91"/>
      <c r="G25" s="91"/>
      <c r="H25" s="91"/>
      <c r="I25" s="91"/>
      <c r="J25" s="91"/>
      <c r="K25" s="91"/>
      <c r="L25" s="91"/>
      <c r="M25" s="91"/>
      <c r="N25" s="91"/>
      <c r="O25" s="91"/>
      <c r="P25" s="91"/>
      <c r="Q25" s="92"/>
      <c r="R25" s="92"/>
      <c r="S25" s="92"/>
      <c r="T25" s="92"/>
    </row>
    <row r="26" spans="1:20" s="93" customFormat="1" ht="42.75" customHeight="1" x14ac:dyDescent="0.2">
      <c r="A26" s="86" t="s">
        <v>58</v>
      </c>
      <c r="B26" s="89" t="s">
        <v>71</v>
      </c>
      <c r="C26" s="94" t="s">
        <v>379</v>
      </c>
      <c r="D26" s="90"/>
      <c r="E26" s="90"/>
      <c r="F26" s="91"/>
      <c r="G26" s="91"/>
      <c r="H26" s="91"/>
      <c r="I26" s="91"/>
      <c r="J26" s="91"/>
      <c r="K26" s="91"/>
      <c r="L26" s="91"/>
      <c r="M26" s="91"/>
      <c r="N26" s="91"/>
      <c r="O26" s="91"/>
      <c r="P26" s="91"/>
      <c r="Q26" s="92"/>
      <c r="R26" s="92"/>
      <c r="S26" s="92"/>
      <c r="T26" s="92"/>
    </row>
    <row r="27" spans="1:20" s="93" customFormat="1" ht="51.75" customHeight="1" x14ac:dyDescent="0.2">
      <c r="A27" s="86" t="s">
        <v>56</v>
      </c>
      <c r="B27" s="89" t="s">
        <v>70</v>
      </c>
      <c r="C27" s="94" t="s">
        <v>537</v>
      </c>
      <c r="D27" s="90"/>
      <c r="E27" s="90"/>
      <c r="F27" s="91"/>
      <c r="G27" s="91"/>
      <c r="H27" s="91"/>
      <c r="I27" s="91"/>
      <c r="J27" s="91"/>
      <c r="K27" s="91"/>
      <c r="L27" s="91"/>
      <c r="M27" s="91"/>
      <c r="N27" s="91"/>
      <c r="O27" s="91"/>
      <c r="P27" s="91"/>
      <c r="Q27" s="92"/>
      <c r="R27" s="92"/>
      <c r="S27" s="92"/>
      <c r="T27" s="92"/>
    </row>
    <row r="28" spans="1:20" s="93" customFormat="1" ht="42.75" customHeight="1" x14ac:dyDescent="0.2">
      <c r="A28" s="86" t="s">
        <v>55</v>
      </c>
      <c r="B28" s="89" t="s">
        <v>313</v>
      </c>
      <c r="C28" s="94" t="s">
        <v>485</v>
      </c>
      <c r="D28" s="90"/>
      <c r="E28" s="90"/>
      <c r="F28" s="91"/>
      <c r="G28" s="91"/>
      <c r="H28" s="91"/>
      <c r="I28" s="91"/>
      <c r="J28" s="91"/>
      <c r="K28" s="91"/>
      <c r="L28" s="91"/>
      <c r="M28" s="91"/>
      <c r="N28" s="91"/>
      <c r="O28" s="91"/>
      <c r="P28" s="91"/>
      <c r="Q28" s="92"/>
      <c r="R28" s="92"/>
      <c r="S28" s="92"/>
      <c r="T28" s="92"/>
    </row>
    <row r="29" spans="1:20" s="93" customFormat="1" ht="51.75" customHeight="1" x14ac:dyDescent="0.2">
      <c r="A29" s="86" t="s">
        <v>53</v>
      </c>
      <c r="B29" s="89" t="s">
        <v>314</v>
      </c>
      <c r="C29" s="94" t="s">
        <v>485</v>
      </c>
      <c r="D29" s="90"/>
      <c r="E29" s="90"/>
      <c r="F29" s="91"/>
      <c r="G29" s="91"/>
      <c r="H29" s="91"/>
      <c r="I29" s="91"/>
      <c r="J29" s="91"/>
      <c r="K29" s="91"/>
      <c r="L29" s="91"/>
      <c r="M29" s="91"/>
      <c r="N29" s="91"/>
      <c r="O29" s="91"/>
      <c r="P29" s="91"/>
      <c r="Q29" s="92"/>
      <c r="R29" s="92"/>
      <c r="S29" s="92"/>
      <c r="T29" s="92"/>
    </row>
    <row r="30" spans="1:20" s="93" customFormat="1" ht="51.75" customHeight="1" x14ac:dyDescent="0.2">
      <c r="A30" s="86" t="s">
        <v>51</v>
      </c>
      <c r="B30" s="89" t="s">
        <v>315</v>
      </c>
      <c r="C30" s="94" t="s">
        <v>485</v>
      </c>
      <c r="D30" s="90"/>
      <c r="E30" s="90"/>
      <c r="F30" s="91"/>
      <c r="G30" s="91"/>
      <c r="H30" s="91"/>
      <c r="I30" s="91"/>
      <c r="J30" s="91"/>
      <c r="K30" s="91"/>
      <c r="L30" s="91"/>
      <c r="M30" s="91"/>
      <c r="N30" s="91"/>
      <c r="O30" s="91"/>
      <c r="P30" s="91"/>
      <c r="Q30" s="92"/>
      <c r="R30" s="92"/>
      <c r="S30" s="92"/>
      <c r="T30" s="92"/>
    </row>
    <row r="31" spans="1:20" s="93" customFormat="1" ht="51.75" customHeight="1" x14ac:dyDescent="0.2">
      <c r="A31" s="86" t="s">
        <v>69</v>
      </c>
      <c r="B31" s="94" t="s">
        <v>316</v>
      </c>
      <c r="C31" s="94" t="s">
        <v>485</v>
      </c>
      <c r="D31" s="90"/>
      <c r="E31" s="90"/>
      <c r="F31" s="91"/>
      <c r="G31" s="91"/>
      <c r="H31" s="91"/>
      <c r="I31" s="91"/>
      <c r="J31" s="91"/>
      <c r="K31" s="91"/>
      <c r="L31" s="91"/>
      <c r="M31" s="91"/>
      <c r="N31" s="91"/>
      <c r="O31" s="91"/>
      <c r="P31" s="91"/>
      <c r="Q31" s="92"/>
      <c r="R31" s="92"/>
      <c r="S31" s="92"/>
      <c r="T31" s="92"/>
    </row>
    <row r="32" spans="1:20" s="93" customFormat="1" ht="51.75" customHeight="1" x14ac:dyDescent="0.2">
      <c r="A32" s="86" t="s">
        <v>67</v>
      </c>
      <c r="B32" s="94" t="s">
        <v>317</v>
      </c>
      <c r="C32" s="94" t="s">
        <v>485</v>
      </c>
      <c r="D32" s="90"/>
      <c r="E32" s="90"/>
      <c r="F32" s="91"/>
      <c r="G32" s="91"/>
      <c r="H32" s="91"/>
      <c r="I32" s="91"/>
      <c r="J32" s="91"/>
      <c r="K32" s="91"/>
      <c r="L32" s="91"/>
      <c r="M32" s="91"/>
      <c r="N32" s="91"/>
      <c r="O32" s="91"/>
      <c r="P32" s="91"/>
      <c r="Q32" s="92"/>
      <c r="R32" s="92"/>
      <c r="S32" s="92"/>
      <c r="T32" s="92"/>
    </row>
    <row r="33" spans="1:20" s="93" customFormat="1" ht="101.25" customHeight="1" x14ac:dyDescent="0.2">
      <c r="A33" s="86" t="s">
        <v>66</v>
      </c>
      <c r="B33" s="94" t="s">
        <v>318</v>
      </c>
      <c r="C33" s="94" t="s">
        <v>534</v>
      </c>
      <c r="D33" s="90"/>
      <c r="E33" s="90"/>
      <c r="F33" s="91"/>
      <c r="G33" s="91"/>
      <c r="H33" s="91"/>
      <c r="I33" s="91"/>
      <c r="J33" s="91"/>
      <c r="K33" s="91"/>
      <c r="L33" s="91"/>
      <c r="M33" s="91"/>
      <c r="N33" s="91"/>
      <c r="O33" s="91"/>
      <c r="P33" s="91"/>
      <c r="Q33" s="92"/>
      <c r="R33" s="92"/>
      <c r="S33" s="92"/>
      <c r="T33" s="92"/>
    </row>
    <row r="34" spans="1:20" ht="111" customHeight="1" x14ac:dyDescent="0.25">
      <c r="A34" s="86" t="s">
        <v>332</v>
      </c>
      <c r="B34" s="94" t="s">
        <v>319</v>
      </c>
      <c r="C34" s="94" t="s">
        <v>485</v>
      </c>
      <c r="D34" s="95"/>
      <c r="E34" s="95"/>
      <c r="F34" s="95"/>
      <c r="G34" s="95"/>
      <c r="H34" s="95"/>
      <c r="I34" s="95"/>
      <c r="J34" s="95"/>
      <c r="K34" s="95"/>
      <c r="L34" s="95"/>
      <c r="M34" s="95"/>
      <c r="N34" s="95"/>
      <c r="O34" s="95"/>
      <c r="P34" s="95"/>
      <c r="Q34" s="95"/>
      <c r="R34" s="95"/>
      <c r="S34" s="95"/>
      <c r="T34" s="95"/>
    </row>
    <row r="35" spans="1:20" ht="58.5" customHeight="1" x14ac:dyDescent="0.25">
      <c r="A35" s="86" t="s">
        <v>322</v>
      </c>
      <c r="B35" s="94" t="s">
        <v>68</v>
      </c>
      <c r="C35" s="94" t="s">
        <v>485</v>
      </c>
      <c r="D35" s="95"/>
      <c r="E35" s="95"/>
      <c r="F35" s="95"/>
      <c r="G35" s="95"/>
      <c r="H35" s="95"/>
      <c r="I35" s="95"/>
      <c r="J35" s="95"/>
      <c r="K35" s="95"/>
      <c r="L35" s="95"/>
      <c r="M35" s="95"/>
      <c r="N35" s="95"/>
      <c r="O35" s="95"/>
      <c r="P35" s="95"/>
      <c r="Q35" s="95"/>
      <c r="R35" s="95"/>
      <c r="S35" s="95"/>
      <c r="T35" s="95"/>
    </row>
    <row r="36" spans="1:20" ht="51.75" customHeight="1" x14ac:dyDescent="0.25">
      <c r="A36" s="86" t="s">
        <v>333</v>
      </c>
      <c r="B36" s="94" t="s">
        <v>320</v>
      </c>
      <c r="C36" s="94" t="s">
        <v>485</v>
      </c>
      <c r="D36" s="95"/>
      <c r="E36" s="95"/>
      <c r="F36" s="95"/>
      <c r="G36" s="95"/>
      <c r="H36" s="95"/>
      <c r="I36" s="95"/>
      <c r="J36" s="95"/>
      <c r="K36" s="95"/>
      <c r="L36" s="95"/>
      <c r="M36" s="95"/>
      <c r="N36" s="95"/>
      <c r="O36" s="95"/>
      <c r="P36" s="95"/>
      <c r="Q36" s="95"/>
      <c r="R36" s="95"/>
      <c r="S36" s="95"/>
      <c r="T36" s="95"/>
    </row>
    <row r="37" spans="1:20" ht="43.5" customHeight="1" x14ac:dyDescent="0.25">
      <c r="A37" s="86" t="s">
        <v>323</v>
      </c>
      <c r="B37" s="94" t="s">
        <v>321</v>
      </c>
      <c r="C37" s="94" t="s">
        <v>535</v>
      </c>
      <c r="D37" s="95"/>
      <c r="E37" s="95"/>
      <c r="F37" s="95"/>
      <c r="G37" s="95"/>
      <c r="H37" s="95"/>
      <c r="I37" s="95"/>
      <c r="J37" s="95"/>
      <c r="K37" s="95"/>
      <c r="L37" s="95"/>
      <c r="M37" s="95"/>
      <c r="N37" s="95"/>
      <c r="O37" s="95"/>
      <c r="P37" s="95"/>
      <c r="Q37" s="95"/>
      <c r="R37" s="95"/>
      <c r="S37" s="95"/>
      <c r="T37" s="95"/>
    </row>
    <row r="38" spans="1:20" ht="43.5" customHeight="1" x14ac:dyDescent="0.25">
      <c r="A38" s="86" t="s">
        <v>334</v>
      </c>
      <c r="B38" s="94" t="s">
        <v>201</v>
      </c>
      <c r="C38" s="94" t="s">
        <v>485</v>
      </c>
      <c r="D38" s="95"/>
      <c r="E38" s="95"/>
      <c r="F38" s="95"/>
      <c r="G38" s="95"/>
      <c r="H38" s="95"/>
      <c r="I38" s="95"/>
      <c r="J38" s="95"/>
      <c r="K38" s="95"/>
      <c r="L38" s="95"/>
      <c r="M38" s="95"/>
      <c r="N38" s="95"/>
      <c r="O38" s="95"/>
      <c r="P38" s="95"/>
      <c r="Q38" s="95"/>
      <c r="R38" s="95"/>
      <c r="S38" s="95"/>
      <c r="T38" s="95"/>
    </row>
    <row r="39" spans="1:20" ht="23.25" customHeight="1" x14ac:dyDescent="0.25">
      <c r="A39" s="415"/>
      <c r="B39" s="416"/>
      <c r="C39" s="417"/>
      <c r="D39" s="95"/>
      <c r="E39" s="95"/>
      <c r="F39" s="95"/>
      <c r="G39" s="95"/>
      <c r="H39" s="95"/>
      <c r="I39" s="95"/>
      <c r="J39" s="95"/>
      <c r="K39" s="95"/>
      <c r="L39" s="95"/>
      <c r="M39" s="95"/>
      <c r="N39" s="95"/>
      <c r="O39" s="95"/>
      <c r="P39" s="95"/>
      <c r="Q39" s="95"/>
      <c r="R39" s="95"/>
      <c r="S39" s="95"/>
      <c r="T39" s="95"/>
    </row>
    <row r="40" spans="1:20" ht="63" x14ac:dyDescent="0.25">
      <c r="A40" s="86" t="s">
        <v>324</v>
      </c>
      <c r="B40" s="94" t="s">
        <v>375</v>
      </c>
      <c r="C40" s="89" t="s">
        <v>812</v>
      </c>
      <c r="D40" s="95"/>
      <c r="E40" s="95"/>
      <c r="F40" s="95"/>
      <c r="G40" s="95"/>
      <c r="H40" s="95"/>
      <c r="I40" s="95"/>
      <c r="J40" s="95"/>
      <c r="K40" s="95"/>
      <c r="L40" s="95"/>
      <c r="M40" s="95"/>
      <c r="N40" s="95"/>
      <c r="O40" s="95"/>
      <c r="P40" s="95"/>
      <c r="Q40" s="95"/>
      <c r="R40" s="95"/>
      <c r="S40" s="95"/>
      <c r="T40" s="95"/>
    </row>
    <row r="41" spans="1:20" ht="105.75" customHeight="1" x14ac:dyDescent="0.25">
      <c r="A41" s="86" t="s">
        <v>335</v>
      </c>
      <c r="B41" s="94" t="s">
        <v>358</v>
      </c>
      <c r="C41" s="94" t="s">
        <v>535</v>
      </c>
      <c r="D41" s="95"/>
      <c r="E41" s="95"/>
      <c r="F41" s="95"/>
      <c r="G41" s="95"/>
      <c r="H41" s="95"/>
      <c r="I41" s="95"/>
      <c r="J41" s="95"/>
      <c r="K41" s="95"/>
      <c r="L41" s="95"/>
      <c r="M41" s="95"/>
      <c r="N41" s="95"/>
      <c r="O41" s="95"/>
      <c r="P41" s="95"/>
      <c r="Q41" s="95"/>
      <c r="R41" s="95"/>
      <c r="S41" s="95"/>
      <c r="T41" s="95"/>
    </row>
    <row r="42" spans="1:20" ht="83.25" customHeight="1" x14ac:dyDescent="0.25">
      <c r="A42" s="86" t="s">
        <v>325</v>
      </c>
      <c r="B42" s="94" t="s">
        <v>372</v>
      </c>
      <c r="C42" s="94" t="s">
        <v>535</v>
      </c>
      <c r="D42" s="95"/>
      <c r="E42" s="95"/>
      <c r="F42" s="95"/>
      <c r="G42" s="95"/>
      <c r="H42" s="95"/>
      <c r="I42" s="95"/>
      <c r="J42" s="95"/>
      <c r="K42" s="95"/>
      <c r="L42" s="95"/>
      <c r="M42" s="95"/>
      <c r="N42" s="95"/>
      <c r="O42" s="95"/>
      <c r="P42" s="95"/>
      <c r="Q42" s="95"/>
      <c r="R42" s="95"/>
      <c r="S42" s="95"/>
      <c r="T42" s="95"/>
    </row>
    <row r="43" spans="1:20" ht="186" customHeight="1" x14ac:dyDescent="0.25">
      <c r="A43" s="86" t="s">
        <v>338</v>
      </c>
      <c r="B43" s="94" t="s">
        <v>339</v>
      </c>
      <c r="C43" s="94" t="s">
        <v>536</v>
      </c>
      <c r="D43" s="95"/>
      <c r="E43" s="95"/>
      <c r="F43" s="95"/>
      <c r="G43" s="95"/>
      <c r="H43" s="95"/>
      <c r="I43" s="95"/>
      <c r="J43" s="95"/>
      <c r="K43" s="95"/>
      <c r="L43" s="95"/>
      <c r="M43" s="95"/>
      <c r="N43" s="95"/>
      <c r="O43" s="95"/>
      <c r="P43" s="95"/>
      <c r="Q43" s="95"/>
      <c r="R43" s="95"/>
      <c r="S43" s="95"/>
      <c r="T43" s="95"/>
    </row>
    <row r="44" spans="1:20" ht="111" customHeight="1" x14ac:dyDescent="0.25">
      <c r="A44" s="86" t="s">
        <v>326</v>
      </c>
      <c r="B44" s="94" t="s">
        <v>364</v>
      </c>
      <c r="C44" s="89" t="s">
        <v>630</v>
      </c>
      <c r="D44" s="95"/>
      <c r="E44" s="95"/>
      <c r="F44" s="95"/>
      <c r="G44" s="95"/>
      <c r="H44" s="95"/>
      <c r="I44" s="95"/>
      <c r="J44" s="95"/>
      <c r="K44" s="95"/>
      <c r="L44" s="95"/>
      <c r="M44" s="95"/>
      <c r="N44" s="95"/>
      <c r="O44" s="95"/>
      <c r="P44" s="95"/>
      <c r="Q44" s="95"/>
      <c r="R44" s="95"/>
      <c r="S44" s="95"/>
      <c r="T44" s="95"/>
    </row>
    <row r="45" spans="1:20" ht="120" customHeight="1" x14ac:dyDescent="0.25">
      <c r="A45" s="86" t="s">
        <v>359</v>
      </c>
      <c r="B45" s="94" t="s">
        <v>365</v>
      </c>
      <c r="C45" s="94" t="s">
        <v>536</v>
      </c>
      <c r="D45" s="95"/>
      <c r="E45" s="95"/>
      <c r="F45" s="95"/>
      <c r="G45" s="95"/>
      <c r="H45" s="95"/>
      <c r="I45" s="95"/>
      <c r="J45" s="95"/>
      <c r="K45" s="95"/>
      <c r="L45" s="95"/>
      <c r="M45" s="95"/>
      <c r="N45" s="95"/>
      <c r="O45" s="95"/>
      <c r="P45" s="95"/>
      <c r="Q45" s="95"/>
      <c r="R45" s="95"/>
      <c r="S45" s="95"/>
      <c r="T45" s="95"/>
    </row>
    <row r="46" spans="1:20" ht="94.5" x14ac:dyDescent="0.25">
      <c r="A46" s="86" t="s">
        <v>327</v>
      </c>
      <c r="B46" s="94" t="s">
        <v>366</v>
      </c>
      <c r="C46" s="267" t="s">
        <v>840</v>
      </c>
      <c r="D46" s="95"/>
      <c r="E46" s="95"/>
      <c r="F46" s="95"/>
      <c r="G46" s="95"/>
      <c r="H46" s="95"/>
      <c r="I46" s="95"/>
      <c r="J46" s="95"/>
      <c r="K46" s="95"/>
      <c r="L46" s="95"/>
      <c r="M46" s="95"/>
      <c r="N46" s="95"/>
      <c r="O46" s="95"/>
      <c r="P46" s="95"/>
      <c r="Q46" s="95"/>
      <c r="R46" s="95"/>
      <c r="S46" s="95"/>
      <c r="T46" s="95"/>
    </row>
    <row r="47" spans="1:20" ht="18.75" customHeight="1" x14ac:dyDescent="0.25">
      <c r="A47" s="415"/>
      <c r="B47" s="416"/>
      <c r="C47" s="417"/>
      <c r="D47" s="95"/>
      <c r="E47" s="95"/>
      <c r="F47" s="95"/>
      <c r="G47" s="95"/>
      <c r="H47" s="95"/>
      <c r="I47" s="95"/>
      <c r="J47" s="95"/>
      <c r="K47" s="95"/>
      <c r="L47" s="95"/>
      <c r="M47" s="95"/>
      <c r="N47" s="95"/>
      <c r="O47" s="95"/>
      <c r="P47" s="95"/>
      <c r="Q47" s="95"/>
      <c r="R47" s="95"/>
      <c r="S47" s="95"/>
      <c r="T47" s="95"/>
    </row>
    <row r="48" spans="1:20" s="266" customFormat="1" ht="75.75" customHeight="1" x14ac:dyDescent="0.25">
      <c r="A48" s="86" t="s">
        <v>360</v>
      </c>
      <c r="B48" s="89" t="s">
        <v>373</v>
      </c>
      <c r="C48" s="267" t="str">
        <f>CONCATENATE(ROUND('6.2. Паспорт фин осв ввод'!U24,2)," млн.руб.")</f>
        <v>5,01 млн.руб.</v>
      </c>
      <c r="D48" s="265"/>
      <c r="E48" s="265"/>
      <c r="F48" s="265"/>
      <c r="G48" s="265"/>
      <c r="H48" s="265"/>
      <c r="I48" s="265"/>
      <c r="J48" s="265"/>
      <c r="K48" s="265"/>
      <c r="L48" s="265"/>
      <c r="M48" s="265"/>
      <c r="N48" s="265"/>
      <c r="O48" s="265"/>
      <c r="P48" s="265"/>
      <c r="Q48" s="265"/>
      <c r="R48" s="265"/>
      <c r="S48" s="265"/>
      <c r="T48" s="265"/>
    </row>
    <row r="49" spans="1:20" s="266" customFormat="1" ht="71.25" customHeight="1" x14ac:dyDescent="0.25">
      <c r="A49" s="86" t="s">
        <v>328</v>
      </c>
      <c r="B49" s="89" t="s">
        <v>374</v>
      </c>
      <c r="C49" s="267" t="str">
        <f>CONCATENATE(ROUND('6.2. Паспорт фин осв ввод'!U30,2)," млн.руб.")</f>
        <v>6,11 млн.руб.</v>
      </c>
      <c r="D49" s="265"/>
      <c r="E49" s="265"/>
      <c r="F49" s="265"/>
      <c r="G49" s="265"/>
      <c r="H49" s="265"/>
      <c r="I49" s="265"/>
      <c r="J49" s="265"/>
      <c r="K49" s="265"/>
      <c r="L49" s="265"/>
      <c r="M49" s="265"/>
      <c r="N49" s="265"/>
      <c r="O49" s="265"/>
      <c r="P49" s="265"/>
      <c r="Q49" s="265"/>
      <c r="R49" s="265"/>
      <c r="S49" s="265"/>
      <c r="T49" s="265"/>
    </row>
    <row r="50" spans="1:20" x14ac:dyDescent="0.25">
      <c r="A50" s="95"/>
      <c r="B50" s="95"/>
      <c r="C50" s="207"/>
      <c r="D50" s="95"/>
      <c r="E50" s="95"/>
      <c r="F50" s="95"/>
      <c r="G50" s="95"/>
      <c r="H50" s="95"/>
      <c r="I50" s="95"/>
      <c r="J50" s="95"/>
      <c r="K50" s="95"/>
      <c r="L50" s="95"/>
      <c r="M50" s="95"/>
      <c r="N50" s="95"/>
      <c r="O50" s="95"/>
      <c r="P50" s="95"/>
      <c r="Q50" s="95"/>
      <c r="R50" s="95"/>
      <c r="S50" s="95"/>
      <c r="T50" s="95"/>
    </row>
    <row r="51" spans="1:20" x14ac:dyDescent="0.25">
      <c r="A51" s="95"/>
      <c r="B51" s="95"/>
      <c r="C51" s="207"/>
      <c r="D51" s="95"/>
      <c r="E51" s="95"/>
      <c r="F51" s="95"/>
      <c r="G51" s="95"/>
      <c r="H51" s="95"/>
      <c r="I51" s="95"/>
      <c r="J51" s="95"/>
      <c r="K51" s="95"/>
      <c r="L51" s="95"/>
      <c r="M51" s="95"/>
      <c r="N51" s="95"/>
      <c r="O51" s="95"/>
      <c r="P51" s="95"/>
      <c r="Q51" s="95"/>
      <c r="R51" s="95"/>
      <c r="S51" s="95"/>
      <c r="T51" s="95"/>
    </row>
    <row r="52" spans="1:20" x14ac:dyDescent="0.25">
      <c r="A52" s="95"/>
      <c r="B52" s="95"/>
      <c r="C52" s="207"/>
      <c r="D52" s="95"/>
      <c r="E52" s="95"/>
      <c r="F52" s="95"/>
      <c r="G52" s="95"/>
      <c r="H52" s="95"/>
      <c r="I52" s="95"/>
      <c r="J52" s="95"/>
      <c r="K52" s="95"/>
      <c r="L52" s="95"/>
      <c r="M52" s="95"/>
      <c r="N52" s="95"/>
      <c r="O52" s="95"/>
      <c r="P52" s="95"/>
      <c r="Q52" s="95"/>
      <c r="R52" s="95"/>
      <c r="S52" s="95"/>
      <c r="T52" s="95"/>
    </row>
    <row r="53" spans="1:20" x14ac:dyDescent="0.25">
      <c r="A53" s="95"/>
      <c r="B53" s="95"/>
      <c r="C53" s="207"/>
      <c r="D53" s="95"/>
      <c r="E53" s="95"/>
      <c r="F53" s="95"/>
      <c r="G53" s="95"/>
      <c r="H53" s="95"/>
      <c r="I53" s="95"/>
      <c r="J53" s="95"/>
      <c r="K53" s="95"/>
      <c r="L53" s="95"/>
      <c r="M53" s="95"/>
      <c r="N53" s="95"/>
      <c r="O53" s="95"/>
      <c r="P53" s="95"/>
      <c r="Q53" s="95"/>
      <c r="R53" s="95"/>
      <c r="S53" s="95"/>
      <c r="T53" s="95"/>
    </row>
    <row r="54" spans="1:20" x14ac:dyDescent="0.25">
      <c r="A54" s="95"/>
      <c r="B54" s="95"/>
      <c r="C54" s="207"/>
      <c r="D54" s="95"/>
      <c r="E54" s="95"/>
      <c r="F54" s="95"/>
      <c r="G54" s="95"/>
      <c r="H54" s="95"/>
      <c r="I54" s="95"/>
      <c r="J54" s="95"/>
      <c r="K54" s="95"/>
      <c r="L54" s="95"/>
      <c r="M54" s="95"/>
      <c r="N54" s="95"/>
      <c r="O54" s="95"/>
      <c r="P54" s="95"/>
      <c r="Q54" s="95"/>
      <c r="R54" s="95"/>
      <c r="S54" s="95"/>
      <c r="T54" s="95"/>
    </row>
    <row r="55" spans="1:20" x14ac:dyDescent="0.25">
      <c r="A55" s="95"/>
      <c r="B55" s="95"/>
      <c r="C55" s="207"/>
      <c r="D55" s="95"/>
      <c r="E55" s="95"/>
      <c r="F55" s="95"/>
      <c r="G55" s="95"/>
      <c r="H55" s="95"/>
      <c r="I55" s="95"/>
      <c r="J55" s="95"/>
      <c r="K55" s="95"/>
      <c r="L55" s="95"/>
      <c r="M55" s="95"/>
      <c r="N55" s="95"/>
      <c r="O55" s="95"/>
      <c r="P55" s="95"/>
      <c r="Q55" s="95"/>
      <c r="R55" s="95"/>
      <c r="S55" s="95"/>
      <c r="T55" s="95"/>
    </row>
    <row r="56" spans="1:20" x14ac:dyDescent="0.25">
      <c r="A56" s="95"/>
      <c r="B56" s="95"/>
      <c r="C56" s="207"/>
      <c r="D56" s="95"/>
      <c r="E56" s="95"/>
      <c r="F56" s="95"/>
      <c r="G56" s="95"/>
      <c r="H56" s="95"/>
      <c r="I56" s="95"/>
      <c r="J56" s="95"/>
      <c r="K56" s="95"/>
      <c r="L56" s="95"/>
      <c r="M56" s="95"/>
      <c r="N56" s="95"/>
      <c r="O56" s="95"/>
      <c r="P56" s="95"/>
      <c r="Q56" s="95"/>
      <c r="R56" s="95"/>
      <c r="S56" s="95"/>
      <c r="T56" s="95"/>
    </row>
    <row r="57" spans="1:20" x14ac:dyDescent="0.25">
      <c r="A57" s="95"/>
      <c r="B57" s="95"/>
      <c r="C57" s="207"/>
      <c r="D57" s="95"/>
      <c r="E57" s="95"/>
      <c r="F57" s="95"/>
      <c r="G57" s="95"/>
      <c r="H57" s="95"/>
      <c r="I57" s="95"/>
      <c r="J57" s="95"/>
      <c r="K57" s="95"/>
      <c r="L57" s="95"/>
      <c r="M57" s="95"/>
      <c r="N57" s="95"/>
      <c r="O57" s="95"/>
      <c r="P57" s="95"/>
      <c r="Q57" s="95"/>
      <c r="R57" s="95"/>
      <c r="S57" s="95"/>
      <c r="T57" s="95"/>
    </row>
    <row r="58" spans="1:20" x14ac:dyDescent="0.25">
      <c r="A58" s="95"/>
      <c r="B58" s="95"/>
      <c r="C58" s="207"/>
      <c r="D58" s="95"/>
      <c r="E58" s="95"/>
      <c r="F58" s="95"/>
      <c r="G58" s="95"/>
      <c r="H58" s="95"/>
      <c r="I58" s="95"/>
      <c r="J58" s="95"/>
      <c r="K58" s="95"/>
      <c r="L58" s="95"/>
      <c r="M58" s="95"/>
      <c r="N58" s="95"/>
      <c r="O58" s="95"/>
      <c r="P58" s="95"/>
      <c r="Q58" s="95"/>
      <c r="R58" s="95"/>
      <c r="S58" s="95"/>
      <c r="T58" s="95"/>
    </row>
    <row r="59" spans="1:20" x14ac:dyDescent="0.25">
      <c r="A59" s="95"/>
      <c r="B59" s="95"/>
      <c r="C59" s="207"/>
      <c r="D59" s="95"/>
      <c r="E59" s="95"/>
      <c r="F59" s="95"/>
      <c r="G59" s="95"/>
      <c r="H59" s="95"/>
      <c r="I59" s="95"/>
      <c r="J59" s="95"/>
      <c r="K59" s="95"/>
      <c r="L59" s="95"/>
      <c r="M59" s="95"/>
      <c r="N59" s="95"/>
      <c r="O59" s="95"/>
      <c r="P59" s="95"/>
      <c r="Q59" s="95"/>
      <c r="R59" s="95"/>
      <c r="S59" s="95"/>
      <c r="T59" s="95"/>
    </row>
    <row r="60" spans="1:20" x14ac:dyDescent="0.25">
      <c r="A60" s="95"/>
      <c r="B60" s="95"/>
      <c r="C60" s="207"/>
      <c r="D60" s="95"/>
      <c r="E60" s="95"/>
      <c r="F60" s="95"/>
      <c r="G60" s="95"/>
      <c r="H60" s="95"/>
      <c r="I60" s="95"/>
      <c r="J60" s="95"/>
      <c r="K60" s="95"/>
      <c r="L60" s="95"/>
      <c r="M60" s="95"/>
      <c r="N60" s="95"/>
      <c r="O60" s="95"/>
      <c r="P60" s="95"/>
      <c r="Q60" s="95"/>
      <c r="R60" s="95"/>
      <c r="S60" s="95"/>
      <c r="T60" s="95"/>
    </row>
    <row r="61" spans="1:20" x14ac:dyDescent="0.25">
      <c r="A61" s="95"/>
      <c r="B61" s="95"/>
      <c r="C61" s="207"/>
      <c r="D61" s="95"/>
      <c r="E61" s="95"/>
      <c r="F61" s="95"/>
      <c r="G61" s="95"/>
      <c r="H61" s="95"/>
      <c r="I61" s="95"/>
      <c r="J61" s="95"/>
      <c r="K61" s="95"/>
      <c r="L61" s="95"/>
      <c r="M61" s="95"/>
      <c r="N61" s="95"/>
      <c r="O61" s="95"/>
      <c r="P61" s="95"/>
      <c r="Q61" s="95"/>
      <c r="R61" s="95"/>
      <c r="S61" s="95"/>
      <c r="T61" s="95"/>
    </row>
    <row r="62" spans="1:20" x14ac:dyDescent="0.25">
      <c r="A62" s="95"/>
      <c r="B62" s="95"/>
      <c r="C62" s="207"/>
      <c r="D62" s="95"/>
      <c r="E62" s="95"/>
      <c r="F62" s="95"/>
      <c r="G62" s="95"/>
      <c r="H62" s="95"/>
      <c r="I62" s="95"/>
      <c r="J62" s="95"/>
      <c r="K62" s="95"/>
      <c r="L62" s="95"/>
      <c r="M62" s="95"/>
      <c r="N62" s="95"/>
      <c r="O62" s="95"/>
      <c r="P62" s="95"/>
      <c r="Q62" s="95"/>
      <c r="R62" s="95"/>
      <c r="S62" s="95"/>
      <c r="T62" s="95"/>
    </row>
    <row r="63" spans="1:20" x14ac:dyDescent="0.25">
      <c r="A63" s="95"/>
      <c r="B63" s="95"/>
      <c r="C63" s="207"/>
      <c r="D63" s="95"/>
      <c r="E63" s="95"/>
      <c r="F63" s="95"/>
      <c r="G63" s="95"/>
      <c r="H63" s="95"/>
      <c r="I63" s="95"/>
      <c r="J63" s="95"/>
      <c r="K63" s="95"/>
      <c r="L63" s="95"/>
      <c r="M63" s="95"/>
      <c r="N63" s="95"/>
      <c r="O63" s="95"/>
      <c r="P63" s="95"/>
      <c r="Q63" s="95"/>
      <c r="R63" s="95"/>
      <c r="S63" s="95"/>
      <c r="T63" s="95"/>
    </row>
    <row r="64" spans="1:20" x14ac:dyDescent="0.25">
      <c r="A64" s="95"/>
      <c r="B64" s="95"/>
      <c r="C64" s="207"/>
      <c r="D64" s="95"/>
      <c r="E64" s="95"/>
      <c r="F64" s="95"/>
      <c r="G64" s="95"/>
      <c r="H64" s="95"/>
      <c r="I64" s="95"/>
      <c r="J64" s="95"/>
      <c r="K64" s="95"/>
      <c r="L64" s="95"/>
      <c r="M64" s="95"/>
      <c r="N64" s="95"/>
      <c r="O64" s="95"/>
      <c r="P64" s="95"/>
      <c r="Q64" s="95"/>
      <c r="R64" s="95"/>
      <c r="S64" s="95"/>
      <c r="T64" s="95"/>
    </row>
    <row r="65" spans="1:20" x14ac:dyDescent="0.25">
      <c r="A65" s="95"/>
      <c r="B65" s="95"/>
      <c r="C65" s="207"/>
      <c r="D65" s="95"/>
      <c r="E65" s="95"/>
      <c r="F65" s="95"/>
      <c r="G65" s="95"/>
      <c r="H65" s="95"/>
      <c r="I65" s="95"/>
      <c r="J65" s="95"/>
      <c r="K65" s="95"/>
      <c r="L65" s="95"/>
      <c r="M65" s="95"/>
      <c r="N65" s="95"/>
      <c r="O65" s="95"/>
      <c r="P65" s="95"/>
      <c r="Q65" s="95"/>
      <c r="R65" s="95"/>
      <c r="S65" s="95"/>
      <c r="T65" s="95"/>
    </row>
    <row r="66" spans="1:20" x14ac:dyDescent="0.25">
      <c r="A66" s="95"/>
      <c r="B66" s="95"/>
      <c r="C66" s="207"/>
      <c r="D66" s="95"/>
      <c r="E66" s="95"/>
      <c r="F66" s="95"/>
      <c r="G66" s="95"/>
      <c r="H66" s="95"/>
      <c r="I66" s="95"/>
      <c r="J66" s="95"/>
      <c r="K66" s="95"/>
      <c r="L66" s="95"/>
      <c r="M66" s="95"/>
      <c r="N66" s="95"/>
      <c r="O66" s="95"/>
      <c r="P66" s="95"/>
      <c r="Q66" s="95"/>
      <c r="R66" s="95"/>
      <c r="S66" s="95"/>
      <c r="T66" s="95"/>
    </row>
    <row r="67" spans="1:20" x14ac:dyDescent="0.25">
      <c r="A67" s="95"/>
      <c r="B67" s="95"/>
      <c r="C67" s="207"/>
      <c r="D67" s="95"/>
      <c r="E67" s="95"/>
      <c r="F67" s="95"/>
      <c r="G67" s="95"/>
      <c r="H67" s="95"/>
      <c r="I67" s="95"/>
      <c r="J67" s="95"/>
      <c r="K67" s="95"/>
      <c r="L67" s="95"/>
      <c r="M67" s="95"/>
      <c r="N67" s="95"/>
      <c r="O67" s="95"/>
      <c r="P67" s="95"/>
      <c r="Q67" s="95"/>
      <c r="R67" s="95"/>
      <c r="S67" s="95"/>
      <c r="T67" s="95"/>
    </row>
    <row r="68" spans="1:20" x14ac:dyDescent="0.25">
      <c r="A68" s="95"/>
      <c r="B68" s="95"/>
      <c r="C68" s="207"/>
      <c r="D68" s="95"/>
      <c r="E68" s="95"/>
      <c r="F68" s="95"/>
      <c r="G68" s="95"/>
      <c r="H68" s="95"/>
      <c r="I68" s="95"/>
      <c r="J68" s="95"/>
      <c r="K68" s="95"/>
      <c r="L68" s="95"/>
      <c r="M68" s="95"/>
      <c r="N68" s="95"/>
      <c r="O68" s="95"/>
      <c r="P68" s="95"/>
      <c r="Q68" s="95"/>
      <c r="R68" s="95"/>
      <c r="S68" s="95"/>
      <c r="T68" s="95"/>
    </row>
    <row r="69" spans="1:20" x14ac:dyDescent="0.25">
      <c r="A69" s="95"/>
      <c r="B69" s="95"/>
      <c r="C69" s="207"/>
      <c r="D69" s="95"/>
      <c r="E69" s="95"/>
      <c r="F69" s="95"/>
      <c r="G69" s="95"/>
      <c r="H69" s="95"/>
      <c r="I69" s="95"/>
      <c r="J69" s="95"/>
      <c r="K69" s="95"/>
      <c r="L69" s="95"/>
      <c r="M69" s="95"/>
      <c r="N69" s="95"/>
      <c r="O69" s="95"/>
      <c r="P69" s="95"/>
      <c r="Q69" s="95"/>
      <c r="R69" s="95"/>
      <c r="S69" s="95"/>
      <c r="T69" s="95"/>
    </row>
    <row r="70" spans="1:20" x14ac:dyDescent="0.25">
      <c r="A70" s="95"/>
      <c r="B70" s="95"/>
      <c r="C70" s="207"/>
      <c r="D70" s="95"/>
      <c r="E70" s="95"/>
      <c r="F70" s="95"/>
      <c r="G70" s="95"/>
      <c r="H70" s="95"/>
      <c r="I70" s="95"/>
      <c r="J70" s="95"/>
      <c r="K70" s="95"/>
      <c r="L70" s="95"/>
      <c r="M70" s="95"/>
      <c r="N70" s="95"/>
      <c r="O70" s="95"/>
      <c r="P70" s="95"/>
      <c r="Q70" s="95"/>
      <c r="R70" s="95"/>
      <c r="S70" s="95"/>
      <c r="T70" s="95"/>
    </row>
    <row r="71" spans="1:20" x14ac:dyDescent="0.25">
      <c r="A71" s="95"/>
      <c r="B71" s="95"/>
      <c r="C71" s="207"/>
      <c r="D71" s="95"/>
      <c r="E71" s="95"/>
      <c r="F71" s="95"/>
      <c r="G71" s="95"/>
      <c r="H71" s="95"/>
      <c r="I71" s="95"/>
      <c r="J71" s="95"/>
      <c r="K71" s="95"/>
      <c r="L71" s="95"/>
      <c r="M71" s="95"/>
      <c r="N71" s="95"/>
      <c r="O71" s="95"/>
      <c r="P71" s="95"/>
      <c r="Q71" s="95"/>
      <c r="R71" s="95"/>
      <c r="S71" s="95"/>
      <c r="T71" s="95"/>
    </row>
    <row r="72" spans="1:20" x14ac:dyDescent="0.25">
      <c r="A72" s="95"/>
      <c r="B72" s="95"/>
      <c r="C72" s="207"/>
      <c r="D72" s="95"/>
      <c r="E72" s="95"/>
      <c r="F72" s="95"/>
      <c r="G72" s="95"/>
      <c r="H72" s="95"/>
      <c r="I72" s="95"/>
      <c r="J72" s="95"/>
      <c r="K72" s="95"/>
      <c r="L72" s="95"/>
      <c r="M72" s="95"/>
      <c r="N72" s="95"/>
      <c r="O72" s="95"/>
      <c r="P72" s="95"/>
      <c r="Q72" s="95"/>
      <c r="R72" s="95"/>
      <c r="S72" s="95"/>
      <c r="T72" s="95"/>
    </row>
    <row r="73" spans="1:20" x14ac:dyDescent="0.25">
      <c r="A73" s="95"/>
      <c r="B73" s="95"/>
      <c r="C73" s="207"/>
      <c r="D73" s="95"/>
      <c r="E73" s="95"/>
      <c r="F73" s="95"/>
      <c r="G73" s="95"/>
      <c r="H73" s="95"/>
      <c r="I73" s="95"/>
      <c r="J73" s="95"/>
      <c r="K73" s="95"/>
      <c r="L73" s="95"/>
      <c r="M73" s="95"/>
      <c r="N73" s="95"/>
      <c r="O73" s="95"/>
      <c r="P73" s="95"/>
      <c r="Q73" s="95"/>
      <c r="R73" s="95"/>
      <c r="S73" s="95"/>
      <c r="T73" s="95"/>
    </row>
    <row r="74" spans="1:20" x14ac:dyDescent="0.25">
      <c r="A74" s="95"/>
      <c r="B74" s="95"/>
      <c r="C74" s="207"/>
      <c r="D74" s="95"/>
      <c r="E74" s="95"/>
      <c r="F74" s="95"/>
      <c r="G74" s="95"/>
      <c r="H74" s="95"/>
      <c r="I74" s="95"/>
      <c r="J74" s="95"/>
      <c r="K74" s="95"/>
      <c r="L74" s="95"/>
      <c r="M74" s="95"/>
      <c r="N74" s="95"/>
      <c r="O74" s="95"/>
      <c r="P74" s="95"/>
      <c r="Q74" s="95"/>
      <c r="R74" s="95"/>
      <c r="S74" s="95"/>
      <c r="T74" s="95"/>
    </row>
    <row r="75" spans="1:20" x14ac:dyDescent="0.25">
      <c r="A75" s="95"/>
      <c r="B75" s="95"/>
      <c r="C75" s="207"/>
      <c r="D75" s="95"/>
      <c r="E75" s="95"/>
      <c r="F75" s="95"/>
      <c r="G75" s="95"/>
      <c r="H75" s="95"/>
      <c r="I75" s="95"/>
      <c r="J75" s="95"/>
      <c r="K75" s="95"/>
      <c r="L75" s="95"/>
      <c r="M75" s="95"/>
      <c r="N75" s="95"/>
      <c r="O75" s="95"/>
      <c r="P75" s="95"/>
      <c r="Q75" s="95"/>
      <c r="R75" s="95"/>
      <c r="S75" s="95"/>
      <c r="T75" s="95"/>
    </row>
    <row r="76" spans="1:20" x14ac:dyDescent="0.25">
      <c r="A76" s="95"/>
      <c r="B76" s="95"/>
      <c r="C76" s="207"/>
      <c r="D76" s="95"/>
      <c r="E76" s="95"/>
      <c r="F76" s="95"/>
      <c r="G76" s="95"/>
      <c r="H76" s="95"/>
      <c r="I76" s="95"/>
      <c r="J76" s="95"/>
      <c r="K76" s="95"/>
      <c r="L76" s="95"/>
      <c r="M76" s="95"/>
      <c r="N76" s="95"/>
      <c r="O76" s="95"/>
      <c r="P76" s="95"/>
      <c r="Q76" s="95"/>
      <c r="R76" s="95"/>
      <c r="S76" s="95"/>
      <c r="T76" s="95"/>
    </row>
    <row r="77" spans="1:20" x14ac:dyDescent="0.25">
      <c r="A77" s="95"/>
      <c r="B77" s="95"/>
      <c r="C77" s="207"/>
      <c r="D77" s="95"/>
      <c r="E77" s="95"/>
      <c r="F77" s="95"/>
      <c r="G77" s="95"/>
      <c r="H77" s="95"/>
      <c r="I77" s="95"/>
      <c r="J77" s="95"/>
      <c r="K77" s="95"/>
      <c r="L77" s="95"/>
      <c r="M77" s="95"/>
      <c r="N77" s="95"/>
      <c r="O77" s="95"/>
      <c r="P77" s="95"/>
      <c r="Q77" s="95"/>
      <c r="R77" s="95"/>
      <c r="S77" s="95"/>
      <c r="T77" s="95"/>
    </row>
    <row r="78" spans="1:20" x14ac:dyDescent="0.25">
      <c r="A78" s="95"/>
      <c r="B78" s="95"/>
      <c r="C78" s="207"/>
      <c r="D78" s="95"/>
      <c r="E78" s="95"/>
      <c r="F78" s="95"/>
      <c r="G78" s="95"/>
      <c r="H78" s="95"/>
      <c r="I78" s="95"/>
      <c r="J78" s="95"/>
      <c r="K78" s="95"/>
      <c r="L78" s="95"/>
      <c r="M78" s="95"/>
      <c r="N78" s="95"/>
      <c r="O78" s="95"/>
      <c r="P78" s="95"/>
      <c r="Q78" s="95"/>
      <c r="R78" s="95"/>
      <c r="S78" s="95"/>
      <c r="T78" s="95"/>
    </row>
    <row r="79" spans="1:20" x14ac:dyDescent="0.25">
      <c r="A79" s="95"/>
      <c r="B79" s="95"/>
      <c r="C79" s="207"/>
      <c r="D79" s="95"/>
      <c r="E79" s="95"/>
      <c r="F79" s="95"/>
      <c r="G79" s="95"/>
      <c r="H79" s="95"/>
      <c r="I79" s="95"/>
      <c r="J79" s="95"/>
      <c r="K79" s="95"/>
      <c r="L79" s="95"/>
      <c r="M79" s="95"/>
      <c r="N79" s="95"/>
      <c r="O79" s="95"/>
      <c r="P79" s="95"/>
      <c r="Q79" s="95"/>
      <c r="R79" s="95"/>
      <c r="S79" s="95"/>
      <c r="T79" s="95"/>
    </row>
    <row r="80" spans="1:20" x14ac:dyDescent="0.25">
      <c r="A80" s="95"/>
      <c r="B80" s="95"/>
      <c r="C80" s="207"/>
      <c r="D80" s="95"/>
      <c r="E80" s="95"/>
      <c r="F80" s="95"/>
      <c r="G80" s="95"/>
      <c r="H80" s="95"/>
      <c r="I80" s="95"/>
      <c r="J80" s="95"/>
      <c r="K80" s="95"/>
      <c r="L80" s="95"/>
      <c r="M80" s="95"/>
      <c r="N80" s="95"/>
      <c r="O80" s="95"/>
      <c r="P80" s="95"/>
      <c r="Q80" s="95"/>
      <c r="R80" s="95"/>
      <c r="S80" s="95"/>
      <c r="T80" s="95"/>
    </row>
    <row r="81" spans="1:20" x14ac:dyDescent="0.25">
      <c r="A81" s="95"/>
      <c r="B81" s="95"/>
      <c r="C81" s="207"/>
      <c r="D81" s="95"/>
      <c r="E81" s="95"/>
      <c r="F81" s="95"/>
      <c r="G81" s="95"/>
      <c r="H81" s="95"/>
      <c r="I81" s="95"/>
      <c r="J81" s="95"/>
      <c r="K81" s="95"/>
      <c r="L81" s="95"/>
      <c r="M81" s="95"/>
      <c r="N81" s="95"/>
      <c r="O81" s="95"/>
      <c r="P81" s="95"/>
      <c r="Q81" s="95"/>
      <c r="R81" s="95"/>
      <c r="S81" s="95"/>
      <c r="T81" s="95"/>
    </row>
    <row r="82" spans="1:20" x14ac:dyDescent="0.25">
      <c r="A82" s="95"/>
      <c r="B82" s="95"/>
      <c r="C82" s="207"/>
      <c r="D82" s="95"/>
      <c r="E82" s="95"/>
      <c r="F82" s="95"/>
      <c r="G82" s="95"/>
      <c r="H82" s="95"/>
      <c r="I82" s="95"/>
      <c r="J82" s="95"/>
      <c r="K82" s="95"/>
      <c r="L82" s="95"/>
      <c r="M82" s="95"/>
      <c r="N82" s="95"/>
      <c r="O82" s="95"/>
      <c r="P82" s="95"/>
      <c r="Q82" s="95"/>
      <c r="R82" s="95"/>
      <c r="S82" s="95"/>
      <c r="T82" s="95"/>
    </row>
    <row r="83" spans="1:20" x14ac:dyDescent="0.25">
      <c r="A83" s="95"/>
      <c r="B83" s="95"/>
      <c r="C83" s="207"/>
      <c r="D83" s="95"/>
      <c r="E83" s="95"/>
      <c r="F83" s="95"/>
      <c r="G83" s="95"/>
      <c r="H83" s="95"/>
      <c r="I83" s="95"/>
      <c r="J83" s="95"/>
      <c r="K83" s="95"/>
      <c r="L83" s="95"/>
      <c r="M83" s="95"/>
      <c r="N83" s="95"/>
      <c r="O83" s="95"/>
      <c r="P83" s="95"/>
      <c r="Q83" s="95"/>
      <c r="R83" s="95"/>
      <c r="S83" s="95"/>
      <c r="T83" s="95"/>
    </row>
    <row r="84" spans="1:20" x14ac:dyDescent="0.25">
      <c r="A84" s="95"/>
      <c r="B84" s="95"/>
      <c r="C84" s="207"/>
      <c r="D84" s="95"/>
      <c r="E84" s="95"/>
      <c r="F84" s="95"/>
      <c r="G84" s="95"/>
      <c r="H84" s="95"/>
      <c r="I84" s="95"/>
      <c r="J84" s="95"/>
      <c r="K84" s="95"/>
      <c r="L84" s="95"/>
      <c r="M84" s="95"/>
      <c r="N84" s="95"/>
      <c r="O84" s="95"/>
      <c r="P84" s="95"/>
      <c r="Q84" s="95"/>
      <c r="R84" s="95"/>
      <c r="S84" s="95"/>
      <c r="T84" s="95"/>
    </row>
    <row r="85" spans="1:20" x14ac:dyDescent="0.25">
      <c r="A85" s="95"/>
      <c r="B85" s="95"/>
      <c r="C85" s="207"/>
      <c r="D85" s="95"/>
      <c r="E85" s="95"/>
      <c r="F85" s="95"/>
      <c r="G85" s="95"/>
      <c r="H85" s="95"/>
      <c r="I85" s="95"/>
      <c r="J85" s="95"/>
      <c r="K85" s="95"/>
      <c r="L85" s="95"/>
      <c r="M85" s="95"/>
      <c r="N85" s="95"/>
      <c r="O85" s="95"/>
      <c r="P85" s="95"/>
      <c r="Q85" s="95"/>
      <c r="R85" s="95"/>
      <c r="S85" s="95"/>
      <c r="T85" s="95"/>
    </row>
    <row r="86" spans="1:20" x14ac:dyDescent="0.25">
      <c r="A86" s="95"/>
      <c r="B86" s="95"/>
      <c r="C86" s="207"/>
      <c r="D86" s="95"/>
      <c r="E86" s="95"/>
      <c r="F86" s="95"/>
      <c r="G86" s="95"/>
      <c r="H86" s="95"/>
      <c r="I86" s="95"/>
      <c r="J86" s="95"/>
      <c r="K86" s="95"/>
      <c r="L86" s="95"/>
      <c r="M86" s="95"/>
      <c r="N86" s="95"/>
      <c r="O86" s="95"/>
      <c r="P86" s="95"/>
      <c r="Q86" s="95"/>
      <c r="R86" s="95"/>
      <c r="S86" s="95"/>
      <c r="T86" s="95"/>
    </row>
    <row r="87" spans="1:20" x14ac:dyDescent="0.25">
      <c r="A87" s="95"/>
      <c r="B87" s="95"/>
      <c r="C87" s="207"/>
      <c r="D87" s="95"/>
      <c r="E87" s="95"/>
      <c r="F87" s="95"/>
      <c r="G87" s="95"/>
      <c r="H87" s="95"/>
      <c r="I87" s="95"/>
      <c r="J87" s="95"/>
      <c r="K87" s="95"/>
      <c r="L87" s="95"/>
      <c r="M87" s="95"/>
      <c r="N87" s="95"/>
      <c r="O87" s="95"/>
      <c r="P87" s="95"/>
      <c r="Q87" s="95"/>
      <c r="R87" s="95"/>
      <c r="S87" s="95"/>
      <c r="T87" s="95"/>
    </row>
    <row r="88" spans="1:20" x14ac:dyDescent="0.25">
      <c r="A88" s="95"/>
      <c r="B88" s="95"/>
      <c r="C88" s="207"/>
      <c r="D88" s="95"/>
      <c r="E88" s="95"/>
      <c r="F88" s="95"/>
      <c r="G88" s="95"/>
      <c r="H88" s="95"/>
      <c r="I88" s="95"/>
      <c r="J88" s="95"/>
      <c r="K88" s="95"/>
      <c r="L88" s="95"/>
      <c r="M88" s="95"/>
      <c r="N88" s="95"/>
      <c r="O88" s="95"/>
      <c r="P88" s="95"/>
      <c r="Q88" s="95"/>
      <c r="R88" s="95"/>
      <c r="S88" s="95"/>
      <c r="T88" s="95"/>
    </row>
    <row r="89" spans="1:20" x14ac:dyDescent="0.25">
      <c r="A89" s="95"/>
      <c r="B89" s="95"/>
      <c r="C89" s="207"/>
      <c r="D89" s="95"/>
      <c r="E89" s="95"/>
      <c r="F89" s="95"/>
      <c r="G89" s="95"/>
      <c r="H89" s="95"/>
      <c r="I89" s="95"/>
      <c r="J89" s="95"/>
      <c r="K89" s="95"/>
      <c r="L89" s="95"/>
      <c r="M89" s="95"/>
      <c r="N89" s="95"/>
      <c r="O89" s="95"/>
      <c r="P89" s="95"/>
      <c r="Q89" s="95"/>
      <c r="R89" s="95"/>
      <c r="S89" s="95"/>
      <c r="T89" s="95"/>
    </row>
    <row r="90" spans="1:20" x14ac:dyDescent="0.25">
      <c r="A90" s="95"/>
      <c r="B90" s="95"/>
      <c r="C90" s="207"/>
      <c r="D90" s="95"/>
      <c r="E90" s="95"/>
      <c r="F90" s="95"/>
      <c r="G90" s="95"/>
      <c r="H90" s="95"/>
      <c r="I90" s="95"/>
      <c r="J90" s="95"/>
      <c r="K90" s="95"/>
      <c r="L90" s="95"/>
      <c r="M90" s="95"/>
      <c r="N90" s="95"/>
      <c r="O90" s="95"/>
      <c r="P90" s="95"/>
      <c r="Q90" s="95"/>
      <c r="R90" s="95"/>
      <c r="S90" s="95"/>
      <c r="T90" s="95"/>
    </row>
    <row r="91" spans="1:20" x14ac:dyDescent="0.25">
      <c r="A91" s="95"/>
      <c r="B91" s="95"/>
      <c r="C91" s="207"/>
      <c r="D91" s="95"/>
      <c r="E91" s="95"/>
      <c r="F91" s="95"/>
      <c r="G91" s="95"/>
      <c r="H91" s="95"/>
      <c r="I91" s="95"/>
      <c r="J91" s="95"/>
      <c r="K91" s="95"/>
      <c r="L91" s="95"/>
      <c r="M91" s="95"/>
      <c r="N91" s="95"/>
      <c r="O91" s="95"/>
      <c r="P91" s="95"/>
      <c r="Q91" s="95"/>
      <c r="R91" s="95"/>
      <c r="S91" s="95"/>
      <c r="T91" s="95"/>
    </row>
    <row r="92" spans="1:20" x14ac:dyDescent="0.25">
      <c r="A92" s="95"/>
      <c r="B92" s="95"/>
      <c r="C92" s="207"/>
      <c r="D92" s="95"/>
      <c r="E92" s="95"/>
      <c r="F92" s="95"/>
      <c r="G92" s="95"/>
      <c r="H92" s="95"/>
      <c r="I92" s="95"/>
      <c r="J92" s="95"/>
      <c r="K92" s="95"/>
      <c r="L92" s="95"/>
      <c r="M92" s="95"/>
      <c r="N92" s="95"/>
      <c r="O92" s="95"/>
      <c r="P92" s="95"/>
      <c r="Q92" s="95"/>
      <c r="R92" s="95"/>
      <c r="S92" s="95"/>
      <c r="T92" s="95"/>
    </row>
    <row r="93" spans="1:20" x14ac:dyDescent="0.25">
      <c r="A93" s="95"/>
      <c r="B93" s="95"/>
      <c r="C93" s="207"/>
      <c r="D93" s="95"/>
      <c r="E93" s="95"/>
      <c r="F93" s="95"/>
      <c r="G93" s="95"/>
      <c r="H93" s="95"/>
      <c r="I93" s="95"/>
      <c r="J93" s="95"/>
      <c r="K93" s="95"/>
      <c r="L93" s="95"/>
      <c r="M93" s="95"/>
      <c r="N93" s="95"/>
      <c r="O93" s="95"/>
      <c r="P93" s="95"/>
      <c r="Q93" s="95"/>
      <c r="R93" s="95"/>
      <c r="S93" s="95"/>
      <c r="T93" s="95"/>
    </row>
    <row r="94" spans="1:20" x14ac:dyDescent="0.25">
      <c r="A94" s="95"/>
      <c r="B94" s="95"/>
      <c r="C94" s="207"/>
      <c r="D94" s="95"/>
      <c r="E94" s="95"/>
      <c r="F94" s="95"/>
      <c r="G94" s="95"/>
      <c r="H94" s="95"/>
      <c r="I94" s="95"/>
      <c r="J94" s="95"/>
      <c r="K94" s="95"/>
      <c r="L94" s="95"/>
      <c r="M94" s="95"/>
      <c r="N94" s="95"/>
      <c r="O94" s="95"/>
      <c r="P94" s="95"/>
      <c r="Q94" s="95"/>
      <c r="R94" s="95"/>
      <c r="S94" s="95"/>
      <c r="T94" s="95"/>
    </row>
    <row r="95" spans="1:20" x14ac:dyDescent="0.25">
      <c r="A95" s="95"/>
      <c r="B95" s="95"/>
      <c r="C95" s="207"/>
      <c r="D95" s="95"/>
      <c r="E95" s="95"/>
      <c r="F95" s="95"/>
      <c r="G95" s="95"/>
      <c r="H95" s="95"/>
      <c r="I95" s="95"/>
      <c r="J95" s="95"/>
      <c r="K95" s="95"/>
      <c r="L95" s="95"/>
      <c r="M95" s="95"/>
      <c r="N95" s="95"/>
      <c r="O95" s="95"/>
      <c r="P95" s="95"/>
      <c r="Q95" s="95"/>
      <c r="R95" s="95"/>
      <c r="S95" s="95"/>
      <c r="T95" s="95"/>
    </row>
    <row r="96" spans="1:20" x14ac:dyDescent="0.25">
      <c r="A96" s="95"/>
      <c r="B96" s="95"/>
      <c r="C96" s="207"/>
      <c r="D96" s="95"/>
      <c r="E96" s="95"/>
      <c r="F96" s="95"/>
      <c r="G96" s="95"/>
      <c r="H96" s="95"/>
      <c r="I96" s="95"/>
      <c r="J96" s="95"/>
      <c r="K96" s="95"/>
      <c r="L96" s="95"/>
      <c r="M96" s="95"/>
      <c r="N96" s="95"/>
      <c r="O96" s="95"/>
      <c r="P96" s="95"/>
      <c r="Q96" s="95"/>
      <c r="R96" s="95"/>
      <c r="S96" s="95"/>
      <c r="T96" s="95"/>
    </row>
    <row r="97" spans="1:20" x14ac:dyDescent="0.25">
      <c r="A97" s="95"/>
      <c r="B97" s="95"/>
      <c r="C97" s="207"/>
      <c r="D97" s="95"/>
      <c r="E97" s="95"/>
      <c r="F97" s="95"/>
      <c r="G97" s="95"/>
      <c r="H97" s="95"/>
      <c r="I97" s="95"/>
      <c r="J97" s="95"/>
      <c r="K97" s="95"/>
      <c r="L97" s="95"/>
      <c r="M97" s="95"/>
      <c r="N97" s="95"/>
      <c r="O97" s="95"/>
      <c r="P97" s="95"/>
      <c r="Q97" s="95"/>
      <c r="R97" s="95"/>
      <c r="S97" s="95"/>
      <c r="T97" s="95"/>
    </row>
    <row r="98" spans="1:20" x14ac:dyDescent="0.25">
      <c r="A98" s="95"/>
      <c r="B98" s="95"/>
      <c r="C98" s="207"/>
      <c r="D98" s="95"/>
      <c r="E98" s="95"/>
      <c r="F98" s="95"/>
      <c r="G98" s="95"/>
      <c r="H98" s="95"/>
      <c r="I98" s="95"/>
      <c r="J98" s="95"/>
      <c r="K98" s="95"/>
      <c r="L98" s="95"/>
      <c r="M98" s="95"/>
      <c r="N98" s="95"/>
      <c r="O98" s="95"/>
      <c r="P98" s="95"/>
      <c r="Q98" s="95"/>
      <c r="R98" s="95"/>
      <c r="S98" s="95"/>
      <c r="T98" s="95"/>
    </row>
    <row r="99" spans="1:20" x14ac:dyDescent="0.25">
      <c r="A99" s="95"/>
      <c r="B99" s="95"/>
      <c r="C99" s="207"/>
      <c r="D99" s="95"/>
      <c r="E99" s="95"/>
      <c r="F99" s="95"/>
      <c r="G99" s="95"/>
      <c r="H99" s="95"/>
      <c r="I99" s="95"/>
      <c r="J99" s="95"/>
      <c r="K99" s="95"/>
      <c r="L99" s="95"/>
      <c r="M99" s="95"/>
      <c r="N99" s="95"/>
      <c r="O99" s="95"/>
      <c r="P99" s="95"/>
      <c r="Q99" s="95"/>
      <c r="R99" s="95"/>
      <c r="S99" s="95"/>
      <c r="T99" s="95"/>
    </row>
    <row r="100" spans="1:20" x14ac:dyDescent="0.25">
      <c r="A100" s="95"/>
      <c r="B100" s="95"/>
      <c r="C100" s="207"/>
      <c r="D100" s="95"/>
      <c r="E100" s="95"/>
      <c r="F100" s="95"/>
      <c r="G100" s="95"/>
      <c r="H100" s="95"/>
      <c r="I100" s="95"/>
      <c r="J100" s="95"/>
      <c r="K100" s="95"/>
      <c r="L100" s="95"/>
      <c r="M100" s="95"/>
      <c r="N100" s="95"/>
      <c r="O100" s="95"/>
      <c r="P100" s="95"/>
      <c r="Q100" s="95"/>
      <c r="R100" s="95"/>
      <c r="S100" s="95"/>
      <c r="T100" s="95"/>
    </row>
    <row r="101" spans="1:20" x14ac:dyDescent="0.25">
      <c r="A101" s="95"/>
      <c r="B101" s="95"/>
      <c r="C101" s="207"/>
      <c r="D101" s="95"/>
      <c r="E101" s="95"/>
      <c r="F101" s="95"/>
      <c r="G101" s="95"/>
      <c r="H101" s="95"/>
      <c r="I101" s="95"/>
      <c r="J101" s="95"/>
      <c r="K101" s="95"/>
      <c r="L101" s="95"/>
      <c r="M101" s="95"/>
      <c r="N101" s="95"/>
      <c r="O101" s="95"/>
      <c r="P101" s="95"/>
      <c r="Q101" s="95"/>
      <c r="R101" s="95"/>
      <c r="S101" s="95"/>
      <c r="T101" s="95"/>
    </row>
    <row r="102" spans="1:20" x14ac:dyDescent="0.25">
      <c r="A102" s="95"/>
      <c r="B102" s="95"/>
      <c r="C102" s="207"/>
      <c r="D102" s="95"/>
      <c r="E102" s="95"/>
      <c r="F102" s="95"/>
      <c r="G102" s="95"/>
      <c r="H102" s="95"/>
      <c r="I102" s="95"/>
      <c r="J102" s="95"/>
      <c r="K102" s="95"/>
      <c r="L102" s="95"/>
      <c r="M102" s="95"/>
      <c r="N102" s="95"/>
      <c r="O102" s="95"/>
      <c r="P102" s="95"/>
      <c r="Q102" s="95"/>
      <c r="R102" s="95"/>
      <c r="S102" s="95"/>
      <c r="T102" s="95"/>
    </row>
    <row r="103" spans="1:20" x14ac:dyDescent="0.25">
      <c r="A103" s="95"/>
      <c r="B103" s="95"/>
      <c r="C103" s="207"/>
      <c r="D103" s="95"/>
      <c r="E103" s="95"/>
      <c r="F103" s="95"/>
      <c r="G103" s="95"/>
      <c r="H103" s="95"/>
      <c r="I103" s="95"/>
      <c r="J103" s="95"/>
      <c r="K103" s="95"/>
      <c r="L103" s="95"/>
      <c r="M103" s="95"/>
      <c r="N103" s="95"/>
      <c r="O103" s="95"/>
      <c r="P103" s="95"/>
      <c r="Q103" s="95"/>
      <c r="R103" s="95"/>
      <c r="S103" s="95"/>
      <c r="T103" s="95"/>
    </row>
    <row r="104" spans="1:20" x14ac:dyDescent="0.25">
      <c r="A104" s="95"/>
      <c r="B104" s="95"/>
      <c r="C104" s="207"/>
      <c r="D104" s="95"/>
      <c r="E104" s="95"/>
      <c r="F104" s="95"/>
      <c r="G104" s="95"/>
      <c r="H104" s="95"/>
      <c r="I104" s="95"/>
      <c r="J104" s="95"/>
      <c r="K104" s="95"/>
      <c r="L104" s="95"/>
      <c r="M104" s="95"/>
      <c r="N104" s="95"/>
      <c r="O104" s="95"/>
      <c r="P104" s="95"/>
      <c r="Q104" s="95"/>
      <c r="R104" s="95"/>
      <c r="S104" s="95"/>
      <c r="T104" s="95"/>
    </row>
    <row r="105" spans="1:20" x14ac:dyDescent="0.25">
      <c r="A105" s="95"/>
      <c r="B105" s="95"/>
      <c r="C105" s="207"/>
      <c r="D105" s="95"/>
      <c r="E105" s="95"/>
      <c r="F105" s="95"/>
      <c r="G105" s="95"/>
      <c r="H105" s="95"/>
      <c r="I105" s="95"/>
      <c r="J105" s="95"/>
      <c r="K105" s="95"/>
      <c r="L105" s="95"/>
      <c r="M105" s="95"/>
      <c r="N105" s="95"/>
      <c r="O105" s="95"/>
      <c r="P105" s="95"/>
      <c r="Q105" s="95"/>
      <c r="R105" s="95"/>
      <c r="S105" s="95"/>
      <c r="T105" s="95"/>
    </row>
    <row r="106" spans="1:20" x14ac:dyDescent="0.25">
      <c r="A106" s="95"/>
      <c r="B106" s="95"/>
      <c r="C106" s="207"/>
      <c r="D106" s="95"/>
      <c r="E106" s="95"/>
      <c r="F106" s="95"/>
      <c r="G106" s="95"/>
      <c r="H106" s="95"/>
      <c r="I106" s="95"/>
      <c r="J106" s="95"/>
      <c r="K106" s="95"/>
      <c r="L106" s="95"/>
      <c r="M106" s="95"/>
      <c r="N106" s="95"/>
      <c r="O106" s="95"/>
      <c r="P106" s="95"/>
      <c r="Q106" s="95"/>
      <c r="R106" s="95"/>
      <c r="S106" s="95"/>
      <c r="T106" s="95"/>
    </row>
    <row r="107" spans="1:20" x14ac:dyDescent="0.25">
      <c r="A107" s="95"/>
      <c r="B107" s="95"/>
      <c r="C107" s="207"/>
      <c r="D107" s="95"/>
      <c r="E107" s="95"/>
      <c r="F107" s="95"/>
      <c r="G107" s="95"/>
      <c r="H107" s="95"/>
      <c r="I107" s="95"/>
      <c r="J107" s="95"/>
      <c r="K107" s="95"/>
      <c r="L107" s="95"/>
      <c r="M107" s="95"/>
      <c r="N107" s="95"/>
      <c r="O107" s="95"/>
      <c r="P107" s="95"/>
      <c r="Q107" s="95"/>
      <c r="R107" s="95"/>
      <c r="S107" s="95"/>
      <c r="T107" s="95"/>
    </row>
    <row r="108" spans="1:20" x14ac:dyDescent="0.25">
      <c r="A108" s="95"/>
      <c r="B108" s="95"/>
      <c r="C108" s="207"/>
      <c r="D108" s="95"/>
      <c r="E108" s="95"/>
      <c r="F108" s="95"/>
      <c r="G108" s="95"/>
      <c r="H108" s="95"/>
      <c r="I108" s="95"/>
      <c r="J108" s="95"/>
      <c r="K108" s="95"/>
      <c r="L108" s="95"/>
      <c r="M108" s="95"/>
      <c r="N108" s="95"/>
      <c r="O108" s="95"/>
      <c r="P108" s="95"/>
      <c r="Q108" s="95"/>
      <c r="R108" s="95"/>
      <c r="S108" s="95"/>
      <c r="T108" s="95"/>
    </row>
    <row r="109" spans="1:20" x14ac:dyDescent="0.25">
      <c r="A109" s="95"/>
      <c r="B109" s="95"/>
      <c r="C109" s="207"/>
      <c r="D109" s="95"/>
      <c r="E109" s="95"/>
      <c r="F109" s="95"/>
      <c r="G109" s="95"/>
      <c r="H109" s="95"/>
      <c r="I109" s="95"/>
      <c r="J109" s="95"/>
      <c r="K109" s="95"/>
      <c r="L109" s="95"/>
      <c r="M109" s="95"/>
      <c r="N109" s="95"/>
      <c r="O109" s="95"/>
      <c r="P109" s="95"/>
      <c r="Q109" s="95"/>
      <c r="R109" s="95"/>
      <c r="S109" s="95"/>
      <c r="T109" s="95"/>
    </row>
    <row r="110" spans="1:20" x14ac:dyDescent="0.25">
      <c r="A110" s="95"/>
      <c r="B110" s="95"/>
      <c r="C110" s="207"/>
      <c r="D110" s="95"/>
      <c r="E110" s="95"/>
      <c r="F110" s="95"/>
      <c r="G110" s="95"/>
      <c r="H110" s="95"/>
      <c r="I110" s="95"/>
      <c r="J110" s="95"/>
      <c r="K110" s="95"/>
      <c r="L110" s="95"/>
      <c r="M110" s="95"/>
      <c r="N110" s="95"/>
      <c r="O110" s="95"/>
      <c r="P110" s="95"/>
      <c r="Q110" s="95"/>
      <c r="R110" s="95"/>
      <c r="S110" s="95"/>
      <c r="T110" s="95"/>
    </row>
    <row r="111" spans="1:20" x14ac:dyDescent="0.25">
      <c r="A111" s="95"/>
      <c r="B111" s="95"/>
      <c r="C111" s="207"/>
      <c r="D111" s="95"/>
      <c r="E111" s="95"/>
      <c r="F111" s="95"/>
      <c r="G111" s="95"/>
      <c r="H111" s="95"/>
      <c r="I111" s="95"/>
      <c r="J111" s="95"/>
      <c r="K111" s="95"/>
      <c r="L111" s="95"/>
      <c r="M111" s="95"/>
      <c r="N111" s="95"/>
      <c r="O111" s="95"/>
      <c r="P111" s="95"/>
      <c r="Q111" s="95"/>
      <c r="R111" s="95"/>
      <c r="S111" s="95"/>
      <c r="T111" s="95"/>
    </row>
    <row r="112" spans="1:20" x14ac:dyDescent="0.25">
      <c r="A112" s="95"/>
      <c r="B112" s="95"/>
      <c r="C112" s="207"/>
      <c r="D112" s="95"/>
      <c r="E112" s="95"/>
      <c r="F112" s="95"/>
      <c r="G112" s="95"/>
      <c r="H112" s="95"/>
      <c r="I112" s="95"/>
      <c r="J112" s="95"/>
      <c r="K112" s="95"/>
      <c r="L112" s="95"/>
      <c r="M112" s="95"/>
      <c r="N112" s="95"/>
      <c r="O112" s="95"/>
      <c r="P112" s="95"/>
      <c r="Q112" s="95"/>
      <c r="R112" s="95"/>
      <c r="S112" s="95"/>
      <c r="T112" s="95"/>
    </row>
    <row r="113" spans="1:20" x14ac:dyDescent="0.25">
      <c r="A113" s="95"/>
      <c r="B113" s="95"/>
      <c r="C113" s="207"/>
      <c r="D113" s="95"/>
      <c r="E113" s="95"/>
      <c r="F113" s="95"/>
      <c r="G113" s="95"/>
      <c r="H113" s="95"/>
      <c r="I113" s="95"/>
      <c r="J113" s="95"/>
      <c r="K113" s="95"/>
      <c r="L113" s="95"/>
      <c r="M113" s="95"/>
      <c r="N113" s="95"/>
      <c r="O113" s="95"/>
      <c r="P113" s="95"/>
      <c r="Q113" s="95"/>
      <c r="R113" s="95"/>
      <c r="S113" s="95"/>
      <c r="T113" s="95"/>
    </row>
    <row r="114" spans="1:20" x14ac:dyDescent="0.25">
      <c r="A114" s="95"/>
      <c r="B114" s="95"/>
      <c r="C114" s="207"/>
      <c r="D114" s="95"/>
      <c r="E114" s="95"/>
      <c r="F114" s="95"/>
      <c r="G114" s="95"/>
      <c r="H114" s="95"/>
      <c r="I114" s="95"/>
      <c r="J114" s="95"/>
      <c r="K114" s="95"/>
      <c r="L114" s="95"/>
      <c r="M114" s="95"/>
      <c r="N114" s="95"/>
      <c r="O114" s="95"/>
      <c r="P114" s="95"/>
      <c r="Q114" s="95"/>
      <c r="R114" s="95"/>
      <c r="S114" s="95"/>
      <c r="T114" s="95"/>
    </row>
    <row r="115" spans="1:20" x14ac:dyDescent="0.25">
      <c r="A115" s="95"/>
      <c r="B115" s="95"/>
      <c r="C115" s="207"/>
      <c r="D115" s="95"/>
      <c r="E115" s="95"/>
      <c r="F115" s="95"/>
      <c r="G115" s="95"/>
      <c r="H115" s="95"/>
      <c r="I115" s="95"/>
      <c r="J115" s="95"/>
      <c r="K115" s="95"/>
      <c r="L115" s="95"/>
      <c r="M115" s="95"/>
      <c r="N115" s="95"/>
      <c r="O115" s="95"/>
      <c r="P115" s="95"/>
      <c r="Q115" s="95"/>
      <c r="R115" s="95"/>
      <c r="S115" s="95"/>
      <c r="T115" s="95"/>
    </row>
    <row r="116" spans="1:20" x14ac:dyDescent="0.25">
      <c r="A116" s="95"/>
      <c r="B116" s="95"/>
      <c r="C116" s="207"/>
      <c r="D116" s="95"/>
      <c r="E116" s="95"/>
      <c r="F116" s="95"/>
      <c r="G116" s="95"/>
      <c r="H116" s="95"/>
      <c r="I116" s="95"/>
      <c r="J116" s="95"/>
      <c r="K116" s="95"/>
      <c r="L116" s="95"/>
      <c r="M116" s="95"/>
      <c r="N116" s="95"/>
      <c r="O116" s="95"/>
      <c r="P116" s="95"/>
      <c r="Q116" s="95"/>
      <c r="R116" s="95"/>
      <c r="S116" s="95"/>
      <c r="T116" s="95"/>
    </row>
    <row r="117" spans="1:20" x14ac:dyDescent="0.25">
      <c r="A117" s="95"/>
      <c r="B117" s="95"/>
      <c r="C117" s="207"/>
      <c r="D117" s="95"/>
      <c r="E117" s="95"/>
      <c r="F117" s="95"/>
      <c r="G117" s="95"/>
      <c r="H117" s="95"/>
      <c r="I117" s="95"/>
      <c r="J117" s="95"/>
      <c r="K117" s="95"/>
      <c r="L117" s="95"/>
      <c r="M117" s="95"/>
      <c r="N117" s="95"/>
      <c r="O117" s="95"/>
      <c r="P117" s="95"/>
      <c r="Q117" s="95"/>
      <c r="R117" s="95"/>
      <c r="S117" s="95"/>
      <c r="T117" s="95"/>
    </row>
    <row r="118" spans="1:20" x14ac:dyDescent="0.25">
      <c r="A118" s="95"/>
      <c r="B118" s="95"/>
      <c r="C118" s="207"/>
      <c r="D118" s="95"/>
      <c r="E118" s="95"/>
      <c r="F118" s="95"/>
      <c r="G118" s="95"/>
      <c r="H118" s="95"/>
      <c r="I118" s="95"/>
      <c r="J118" s="95"/>
      <c r="K118" s="95"/>
      <c r="L118" s="95"/>
      <c r="M118" s="95"/>
      <c r="N118" s="95"/>
      <c r="O118" s="95"/>
      <c r="P118" s="95"/>
      <c r="Q118" s="95"/>
      <c r="R118" s="95"/>
      <c r="S118" s="95"/>
      <c r="T118" s="95"/>
    </row>
    <row r="119" spans="1:20" x14ac:dyDescent="0.25">
      <c r="A119" s="95"/>
      <c r="B119" s="95"/>
      <c r="C119" s="207"/>
      <c r="D119" s="95"/>
      <c r="E119" s="95"/>
      <c r="F119" s="95"/>
      <c r="G119" s="95"/>
      <c r="H119" s="95"/>
      <c r="I119" s="95"/>
      <c r="J119" s="95"/>
      <c r="K119" s="95"/>
      <c r="L119" s="95"/>
      <c r="M119" s="95"/>
      <c r="N119" s="95"/>
      <c r="O119" s="95"/>
      <c r="P119" s="95"/>
      <c r="Q119" s="95"/>
      <c r="R119" s="95"/>
      <c r="S119" s="95"/>
      <c r="T119" s="95"/>
    </row>
    <row r="120" spans="1:20" x14ac:dyDescent="0.25">
      <c r="A120" s="95"/>
      <c r="B120" s="95"/>
      <c r="C120" s="207"/>
      <c r="D120" s="95"/>
      <c r="E120" s="95"/>
      <c r="F120" s="95"/>
      <c r="G120" s="95"/>
      <c r="H120" s="95"/>
      <c r="I120" s="95"/>
      <c r="J120" s="95"/>
      <c r="K120" s="95"/>
      <c r="L120" s="95"/>
      <c r="M120" s="95"/>
      <c r="N120" s="95"/>
      <c r="O120" s="95"/>
      <c r="P120" s="95"/>
      <c r="Q120" s="95"/>
      <c r="R120" s="95"/>
      <c r="S120" s="95"/>
      <c r="T120" s="95"/>
    </row>
    <row r="121" spans="1:20" x14ac:dyDescent="0.25">
      <c r="A121" s="95"/>
      <c r="B121" s="95"/>
      <c r="C121" s="207"/>
      <c r="D121" s="95"/>
      <c r="E121" s="95"/>
      <c r="F121" s="95"/>
      <c r="G121" s="95"/>
      <c r="H121" s="95"/>
      <c r="I121" s="95"/>
      <c r="J121" s="95"/>
      <c r="K121" s="95"/>
      <c r="L121" s="95"/>
      <c r="M121" s="95"/>
      <c r="N121" s="95"/>
      <c r="O121" s="95"/>
      <c r="P121" s="95"/>
      <c r="Q121" s="95"/>
      <c r="R121" s="95"/>
      <c r="S121" s="95"/>
      <c r="T121" s="95"/>
    </row>
    <row r="122" spans="1:20" x14ac:dyDescent="0.25">
      <c r="A122" s="95"/>
      <c r="B122" s="95"/>
      <c r="C122" s="207"/>
      <c r="D122" s="95"/>
      <c r="E122" s="95"/>
      <c r="F122" s="95"/>
      <c r="G122" s="95"/>
      <c r="H122" s="95"/>
      <c r="I122" s="95"/>
      <c r="J122" s="95"/>
      <c r="K122" s="95"/>
      <c r="L122" s="95"/>
      <c r="M122" s="95"/>
      <c r="N122" s="95"/>
      <c r="O122" s="95"/>
      <c r="P122" s="95"/>
      <c r="Q122" s="95"/>
      <c r="R122" s="95"/>
      <c r="S122" s="95"/>
      <c r="T122" s="95"/>
    </row>
    <row r="123" spans="1:20" x14ac:dyDescent="0.25">
      <c r="A123" s="95"/>
      <c r="B123" s="95"/>
      <c r="C123" s="207"/>
      <c r="D123" s="95"/>
      <c r="E123" s="95"/>
      <c r="F123" s="95"/>
      <c r="G123" s="95"/>
      <c r="H123" s="95"/>
      <c r="I123" s="95"/>
      <c r="J123" s="95"/>
      <c r="K123" s="95"/>
      <c r="L123" s="95"/>
      <c r="M123" s="95"/>
      <c r="N123" s="95"/>
      <c r="O123" s="95"/>
      <c r="P123" s="95"/>
      <c r="Q123" s="95"/>
      <c r="R123" s="95"/>
      <c r="S123" s="95"/>
      <c r="T123" s="95"/>
    </row>
    <row r="124" spans="1:20" x14ac:dyDescent="0.25">
      <c r="A124" s="95"/>
      <c r="B124" s="95"/>
      <c r="C124" s="207"/>
      <c r="D124" s="95"/>
      <c r="E124" s="95"/>
      <c r="F124" s="95"/>
      <c r="G124" s="95"/>
      <c r="H124" s="95"/>
      <c r="I124" s="95"/>
      <c r="J124" s="95"/>
      <c r="K124" s="95"/>
      <c r="L124" s="95"/>
      <c r="M124" s="95"/>
      <c r="N124" s="95"/>
      <c r="O124" s="95"/>
      <c r="P124" s="95"/>
      <c r="Q124" s="95"/>
      <c r="R124" s="95"/>
      <c r="S124" s="95"/>
      <c r="T124" s="95"/>
    </row>
    <row r="125" spans="1:20" x14ac:dyDescent="0.25">
      <c r="A125" s="95"/>
      <c r="B125" s="95"/>
      <c r="C125" s="207"/>
      <c r="D125" s="95"/>
      <c r="E125" s="95"/>
      <c r="F125" s="95"/>
      <c r="G125" s="95"/>
      <c r="H125" s="95"/>
      <c r="I125" s="95"/>
      <c r="J125" s="95"/>
      <c r="K125" s="95"/>
      <c r="L125" s="95"/>
      <c r="M125" s="95"/>
      <c r="N125" s="95"/>
      <c r="O125" s="95"/>
      <c r="P125" s="95"/>
      <c r="Q125" s="95"/>
      <c r="R125" s="95"/>
      <c r="S125" s="95"/>
      <c r="T125" s="95"/>
    </row>
    <row r="126" spans="1:20" x14ac:dyDescent="0.25">
      <c r="A126" s="95"/>
      <c r="B126" s="95"/>
      <c r="C126" s="207"/>
      <c r="D126" s="95"/>
      <c r="E126" s="95"/>
      <c r="F126" s="95"/>
      <c r="G126" s="95"/>
      <c r="H126" s="95"/>
      <c r="I126" s="95"/>
      <c r="J126" s="95"/>
      <c r="K126" s="95"/>
      <c r="L126" s="95"/>
      <c r="M126" s="95"/>
      <c r="N126" s="95"/>
      <c r="O126" s="95"/>
      <c r="P126" s="95"/>
      <c r="Q126" s="95"/>
      <c r="R126" s="95"/>
      <c r="S126" s="95"/>
      <c r="T126" s="95"/>
    </row>
    <row r="127" spans="1:20" x14ac:dyDescent="0.25">
      <c r="A127" s="95"/>
      <c r="B127" s="95"/>
      <c r="C127" s="207"/>
      <c r="D127" s="95"/>
      <c r="E127" s="95"/>
      <c r="F127" s="95"/>
      <c r="G127" s="95"/>
      <c r="H127" s="95"/>
      <c r="I127" s="95"/>
      <c r="J127" s="95"/>
      <c r="K127" s="95"/>
      <c r="L127" s="95"/>
      <c r="M127" s="95"/>
      <c r="N127" s="95"/>
      <c r="O127" s="95"/>
      <c r="P127" s="95"/>
      <c r="Q127" s="95"/>
      <c r="R127" s="95"/>
      <c r="S127" s="95"/>
      <c r="T127" s="95"/>
    </row>
    <row r="128" spans="1:20" x14ac:dyDescent="0.25">
      <c r="A128" s="95"/>
      <c r="B128" s="95"/>
      <c r="C128" s="207"/>
      <c r="D128" s="95"/>
      <c r="E128" s="95"/>
      <c r="F128" s="95"/>
      <c r="G128" s="95"/>
      <c r="H128" s="95"/>
      <c r="I128" s="95"/>
      <c r="J128" s="95"/>
      <c r="K128" s="95"/>
      <c r="L128" s="95"/>
      <c r="M128" s="95"/>
      <c r="N128" s="95"/>
      <c r="O128" s="95"/>
      <c r="P128" s="95"/>
      <c r="Q128" s="95"/>
      <c r="R128" s="95"/>
      <c r="S128" s="95"/>
      <c r="T128" s="95"/>
    </row>
    <row r="129" spans="1:20" x14ac:dyDescent="0.25">
      <c r="A129" s="95"/>
      <c r="B129" s="95"/>
      <c r="C129" s="207"/>
      <c r="D129" s="95"/>
      <c r="E129" s="95"/>
      <c r="F129" s="95"/>
      <c r="G129" s="95"/>
      <c r="H129" s="95"/>
      <c r="I129" s="95"/>
      <c r="J129" s="95"/>
      <c r="K129" s="95"/>
      <c r="L129" s="95"/>
      <c r="M129" s="95"/>
      <c r="N129" s="95"/>
      <c r="O129" s="95"/>
      <c r="P129" s="95"/>
      <c r="Q129" s="95"/>
      <c r="R129" s="95"/>
      <c r="S129" s="95"/>
      <c r="T129" s="95"/>
    </row>
    <row r="130" spans="1:20" x14ac:dyDescent="0.25">
      <c r="A130" s="95"/>
      <c r="B130" s="95"/>
      <c r="C130" s="207"/>
      <c r="D130" s="95"/>
      <c r="E130" s="95"/>
      <c r="F130" s="95"/>
      <c r="G130" s="95"/>
      <c r="H130" s="95"/>
      <c r="I130" s="95"/>
      <c r="J130" s="95"/>
      <c r="K130" s="95"/>
      <c r="L130" s="95"/>
      <c r="M130" s="95"/>
      <c r="N130" s="95"/>
      <c r="O130" s="95"/>
      <c r="P130" s="95"/>
      <c r="Q130" s="95"/>
      <c r="R130" s="95"/>
      <c r="S130" s="95"/>
      <c r="T130" s="95"/>
    </row>
    <row r="131" spans="1:20" x14ac:dyDescent="0.25">
      <c r="A131" s="95"/>
      <c r="B131" s="95"/>
      <c r="C131" s="207"/>
      <c r="D131" s="95"/>
      <c r="E131" s="95"/>
      <c r="F131" s="95"/>
      <c r="G131" s="95"/>
      <c r="H131" s="95"/>
      <c r="I131" s="95"/>
      <c r="J131" s="95"/>
      <c r="K131" s="95"/>
      <c r="L131" s="95"/>
      <c r="M131" s="95"/>
      <c r="N131" s="95"/>
      <c r="O131" s="95"/>
      <c r="P131" s="95"/>
      <c r="Q131" s="95"/>
      <c r="R131" s="95"/>
      <c r="S131" s="95"/>
      <c r="T131" s="95"/>
    </row>
    <row r="132" spans="1:20" x14ac:dyDescent="0.25">
      <c r="A132" s="95"/>
      <c r="B132" s="95"/>
      <c r="C132" s="207"/>
      <c r="D132" s="95"/>
      <c r="E132" s="95"/>
      <c r="F132" s="95"/>
      <c r="G132" s="95"/>
      <c r="H132" s="95"/>
      <c r="I132" s="95"/>
      <c r="J132" s="95"/>
      <c r="K132" s="95"/>
      <c r="L132" s="95"/>
      <c r="M132" s="95"/>
      <c r="N132" s="95"/>
      <c r="O132" s="95"/>
      <c r="P132" s="95"/>
      <c r="Q132" s="95"/>
      <c r="R132" s="95"/>
      <c r="S132" s="95"/>
      <c r="T132" s="95"/>
    </row>
    <row r="133" spans="1:20" x14ac:dyDescent="0.25">
      <c r="A133" s="95"/>
      <c r="B133" s="95"/>
      <c r="C133" s="207"/>
      <c r="D133" s="95"/>
      <c r="E133" s="95"/>
      <c r="F133" s="95"/>
      <c r="G133" s="95"/>
      <c r="H133" s="95"/>
      <c r="I133" s="95"/>
      <c r="J133" s="95"/>
      <c r="K133" s="95"/>
      <c r="L133" s="95"/>
      <c r="M133" s="95"/>
      <c r="N133" s="95"/>
      <c r="O133" s="95"/>
      <c r="P133" s="95"/>
      <c r="Q133" s="95"/>
      <c r="R133" s="95"/>
      <c r="S133" s="95"/>
      <c r="T133" s="95"/>
    </row>
    <row r="134" spans="1:20" x14ac:dyDescent="0.25">
      <c r="A134" s="95"/>
      <c r="B134" s="95"/>
      <c r="C134" s="207"/>
      <c r="D134" s="95"/>
      <c r="E134" s="95"/>
      <c r="F134" s="95"/>
      <c r="G134" s="95"/>
      <c r="H134" s="95"/>
      <c r="I134" s="95"/>
      <c r="J134" s="95"/>
      <c r="K134" s="95"/>
      <c r="L134" s="95"/>
      <c r="M134" s="95"/>
      <c r="N134" s="95"/>
      <c r="O134" s="95"/>
      <c r="P134" s="95"/>
      <c r="Q134" s="95"/>
      <c r="R134" s="95"/>
      <c r="S134" s="95"/>
      <c r="T134" s="95"/>
    </row>
    <row r="135" spans="1:20" x14ac:dyDescent="0.25">
      <c r="A135" s="95"/>
      <c r="B135" s="95"/>
      <c r="C135" s="207"/>
      <c r="D135" s="95"/>
      <c r="E135" s="95"/>
      <c r="F135" s="95"/>
      <c r="G135" s="95"/>
      <c r="H135" s="95"/>
      <c r="I135" s="95"/>
      <c r="J135" s="95"/>
      <c r="K135" s="95"/>
      <c r="L135" s="95"/>
      <c r="M135" s="95"/>
      <c r="N135" s="95"/>
      <c r="O135" s="95"/>
      <c r="P135" s="95"/>
      <c r="Q135" s="95"/>
      <c r="R135" s="95"/>
      <c r="S135" s="95"/>
      <c r="T135" s="95"/>
    </row>
    <row r="136" spans="1:20" x14ac:dyDescent="0.25">
      <c r="A136" s="95"/>
      <c r="B136" s="95"/>
      <c r="C136" s="207"/>
      <c r="D136" s="95"/>
      <c r="E136" s="95"/>
      <c r="F136" s="95"/>
      <c r="G136" s="95"/>
      <c r="H136" s="95"/>
      <c r="I136" s="95"/>
      <c r="J136" s="95"/>
      <c r="K136" s="95"/>
      <c r="L136" s="95"/>
      <c r="M136" s="95"/>
      <c r="N136" s="95"/>
      <c r="O136" s="95"/>
      <c r="P136" s="95"/>
      <c r="Q136" s="95"/>
      <c r="R136" s="95"/>
      <c r="S136" s="95"/>
      <c r="T136" s="95"/>
    </row>
    <row r="137" spans="1:20" x14ac:dyDescent="0.25">
      <c r="A137" s="95"/>
      <c r="B137" s="95"/>
      <c r="C137" s="207"/>
      <c r="D137" s="95"/>
      <c r="E137" s="95"/>
      <c r="F137" s="95"/>
      <c r="G137" s="95"/>
      <c r="H137" s="95"/>
      <c r="I137" s="95"/>
      <c r="J137" s="95"/>
      <c r="K137" s="95"/>
      <c r="L137" s="95"/>
      <c r="M137" s="95"/>
      <c r="N137" s="95"/>
      <c r="O137" s="95"/>
      <c r="P137" s="95"/>
      <c r="Q137" s="95"/>
      <c r="R137" s="95"/>
      <c r="S137" s="95"/>
      <c r="T137" s="95"/>
    </row>
    <row r="138" spans="1:20" x14ac:dyDescent="0.25">
      <c r="A138" s="95"/>
      <c r="B138" s="95"/>
      <c r="C138" s="207"/>
      <c r="D138" s="95"/>
      <c r="E138" s="95"/>
      <c r="F138" s="95"/>
      <c r="G138" s="95"/>
      <c r="H138" s="95"/>
      <c r="I138" s="95"/>
      <c r="J138" s="95"/>
      <c r="K138" s="95"/>
      <c r="L138" s="95"/>
      <c r="M138" s="95"/>
      <c r="N138" s="95"/>
      <c r="O138" s="95"/>
      <c r="P138" s="95"/>
      <c r="Q138" s="95"/>
      <c r="R138" s="95"/>
      <c r="S138" s="95"/>
      <c r="T138" s="95"/>
    </row>
    <row r="139" spans="1:20" x14ac:dyDescent="0.25">
      <c r="A139" s="95"/>
      <c r="B139" s="95"/>
      <c r="C139" s="207"/>
      <c r="D139" s="95"/>
      <c r="E139" s="95"/>
      <c r="F139" s="95"/>
      <c r="G139" s="95"/>
      <c r="H139" s="95"/>
      <c r="I139" s="95"/>
      <c r="J139" s="95"/>
      <c r="K139" s="95"/>
      <c r="L139" s="95"/>
      <c r="M139" s="95"/>
      <c r="N139" s="95"/>
      <c r="O139" s="95"/>
      <c r="P139" s="95"/>
      <c r="Q139" s="95"/>
      <c r="R139" s="95"/>
      <c r="S139" s="95"/>
      <c r="T139" s="95"/>
    </row>
    <row r="140" spans="1:20" x14ac:dyDescent="0.25">
      <c r="A140" s="95"/>
      <c r="B140" s="95"/>
      <c r="C140" s="207"/>
      <c r="D140" s="95"/>
      <c r="E140" s="95"/>
      <c r="F140" s="95"/>
      <c r="G140" s="95"/>
      <c r="H140" s="95"/>
      <c r="I140" s="95"/>
      <c r="J140" s="95"/>
      <c r="K140" s="95"/>
      <c r="L140" s="95"/>
      <c r="M140" s="95"/>
      <c r="N140" s="95"/>
      <c r="O140" s="95"/>
      <c r="P140" s="95"/>
      <c r="Q140" s="95"/>
      <c r="R140" s="95"/>
      <c r="S140" s="95"/>
      <c r="T140" s="95"/>
    </row>
    <row r="141" spans="1:20" x14ac:dyDescent="0.25">
      <c r="A141" s="95"/>
      <c r="B141" s="95"/>
      <c r="C141" s="207"/>
      <c r="D141" s="95"/>
      <c r="E141" s="95"/>
      <c r="F141" s="95"/>
      <c r="G141" s="95"/>
      <c r="H141" s="95"/>
      <c r="I141" s="95"/>
      <c r="J141" s="95"/>
      <c r="K141" s="95"/>
      <c r="L141" s="95"/>
      <c r="M141" s="95"/>
      <c r="N141" s="95"/>
      <c r="O141" s="95"/>
      <c r="P141" s="95"/>
      <c r="Q141" s="95"/>
      <c r="R141" s="95"/>
      <c r="S141" s="95"/>
      <c r="T141" s="95"/>
    </row>
    <row r="142" spans="1:20" x14ac:dyDescent="0.25">
      <c r="A142" s="95"/>
      <c r="B142" s="95"/>
      <c r="C142" s="207"/>
      <c r="D142" s="95"/>
      <c r="E142" s="95"/>
      <c r="F142" s="95"/>
      <c r="G142" s="95"/>
      <c r="H142" s="95"/>
      <c r="I142" s="95"/>
      <c r="J142" s="95"/>
      <c r="K142" s="95"/>
      <c r="L142" s="95"/>
      <c r="M142" s="95"/>
      <c r="N142" s="95"/>
      <c r="O142" s="95"/>
      <c r="P142" s="95"/>
      <c r="Q142" s="95"/>
      <c r="R142" s="95"/>
      <c r="S142" s="95"/>
      <c r="T142" s="95"/>
    </row>
    <row r="143" spans="1:20" x14ac:dyDescent="0.25">
      <c r="A143" s="95"/>
      <c r="B143" s="95"/>
      <c r="C143" s="207"/>
      <c r="D143" s="95"/>
      <c r="E143" s="95"/>
      <c r="F143" s="95"/>
      <c r="G143" s="95"/>
      <c r="H143" s="95"/>
      <c r="I143" s="95"/>
      <c r="J143" s="95"/>
      <c r="K143" s="95"/>
      <c r="L143" s="95"/>
      <c r="M143" s="95"/>
      <c r="N143" s="95"/>
      <c r="O143" s="95"/>
      <c r="P143" s="95"/>
      <c r="Q143" s="95"/>
      <c r="R143" s="95"/>
      <c r="S143" s="95"/>
      <c r="T143" s="95"/>
    </row>
    <row r="144" spans="1:20" x14ac:dyDescent="0.25">
      <c r="A144" s="95"/>
      <c r="B144" s="95"/>
      <c r="C144" s="207"/>
      <c r="D144" s="95"/>
      <c r="E144" s="95"/>
      <c r="F144" s="95"/>
      <c r="G144" s="95"/>
      <c r="H144" s="95"/>
      <c r="I144" s="95"/>
      <c r="J144" s="95"/>
      <c r="K144" s="95"/>
      <c r="L144" s="95"/>
      <c r="M144" s="95"/>
      <c r="N144" s="95"/>
      <c r="O144" s="95"/>
      <c r="P144" s="95"/>
      <c r="Q144" s="95"/>
      <c r="R144" s="95"/>
      <c r="S144" s="95"/>
      <c r="T144" s="95"/>
    </row>
    <row r="145" spans="1:20" x14ac:dyDescent="0.25">
      <c r="A145" s="95"/>
      <c r="B145" s="95"/>
      <c r="C145" s="207"/>
      <c r="D145" s="95"/>
      <c r="E145" s="95"/>
      <c r="F145" s="95"/>
      <c r="G145" s="95"/>
      <c r="H145" s="95"/>
      <c r="I145" s="95"/>
      <c r="J145" s="95"/>
      <c r="K145" s="95"/>
      <c r="L145" s="95"/>
      <c r="M145" s="95"/>
      <c r="N145" s="95"/>
      <c r="O145" s="95"/>
      <c r="P145" s="95"/>
      <c r="Q145" s="95"/>
      <c r="R145" s="95"/>
      <c r="S145" s="95"/>
      <c r="T145" s="95"/>
    </row>
    <row r="146" spans="1:20" x14ac:dyDescent="0.25">
      <c r="A146" s="95"/>
      <c r="B146" s="95"/>
      <c r="C146" s="207"/>
      <c r="D146" s="95"/>
      <c r="E146" s="95"/>
      <c r="F146" s="95"/>
      <c r="G146" s="95"/>
      <c r="H146" s="95"/>
      <c r="I146" s="95"/>
      <c r="J146" s="95"/>
      <c r="K146" s="95"/>
      <c r="L146" s="95"/>
      <c r="M146" s="95"/>
      <c r="N146" s="95"/>
      <c r="O146" s="95"/>
      <c r="P146" s="95"/>
      <c r="Q146" s="95"/>
      <c r="R146" s="95"/>
      <c r="S146" s="95"/>
      <c r="T146" s="95"/>
    </row>
    <row r="147" spans="1:20" x14ac:dyDescent="0.25">
      <c r="A147" s="95"/>
      <c r="B147" s="95"/>
      <c r="C147" s="207"/>
      <c r="D147" s="95"/>
      <c r="E147" s="95"/>
      <c r="F147" s="95"/>
      <c r="G147" s="95"/>
      <c r="H147" s="95"/>
      <c r="I147" s="95"/>
      <c r="J147" s="95"/>
      <c r="K147" s="95"/>
      <c r="L147" s="95"/>
      <c r="M147" s="95"/>
      <c r="N147" s="95"/>
      <c r="O147" s="95"/>
      <c r="P147" s="95"/>
      <c r="Q147" s="95"/>
      <c r="R147" s="95"/>
      <c r="S147" s="95"/>
      <c r="T147" s="95"/>
    </row>
    <row r="148" spans="1:20" x14ac:dyDescent="0.25">
      <c r="A148" s="95"/>
      <c r="B148" s="95"/>
      <c r="C148" s="207"/>
      <c r="D148" s="95"/>
      <c r="E148" s="95"/>
      <c r="F148" s="95"/>
      <c r="G148" s="95"/>
      <c r="H148" s="95"/>
      <c r="I148" s="95"/>
      <c r="J148" s="95"/>
      <c r="K148" s="95"/>
      <c r="L148" s="95"/>
      <c r="M148" s="95"/>
      <c r="N148" s="95"/>
      <c r="O148" s="95"/>
      <c r="P148" s="95"/>
      <c r="Q148" s="95"/>
      <c r="R148" s="95"/>
      <c r="S148" s="95"/>
      <c r="T148" s="95"/>
    </row>
    <row r="149" spans="1:20" x14ac:dyDescent="0.25">
      <c r="A149" s="95"/>
      <c r="B149" s="95"/>
      <c r="C149" s="207"/>
      <c r="D149" s="95"/>
      <c r="E149" s="95"/>
      <c r="F149" s="95"/>
      <c r="G149" s="95"/>
      <c r="H149" s="95"/>
      <c r="I149" s="95"/>
      <c r="J149" s="95"/>
      <c r="K149" s="95"/>
      <c r="L149" s="95"/>
      <c r="M149" s="95"/>
      <c r="N149" s="95"/>
      <c r="O149" s="95"/>
      <c r="P149" s="95"/>
      <c r="Q149" s="95"/>
      <c r="R149" s="95"/>
      <c r="S149" s="95"/>
      <c r="T149" s="95"/>
    </row>
    <row r="150" spans="1:20" x14ac:dyDescent="0.25">
      <c r="A150" s="95"/>
      <c r="B150" s="95"/>
      <c r="C150" s="207"/>
      <c r="D150" s="95"/>
      <c r="E150" s="95"/>
      <c r="F150" s="95"/>
      <c r="G150" s="95"/>
      <c r="H150" s="95"/>
      <c r="I150" s="95"/>
      <c r="J150" s="95"/>
      <c r="K150" s="95"/>
      <c r="L150" s="95"/>
      <c r="M150" s="95"/>
      <c r="N150" s="95"/>
      <c r="O150" s="95"/>
      <c r="P150" s="95"/>
      <c r="Q150" s="95"/>
      <c r="R150" s="95"/>
      <c r="S150" s="95"/>
      <c r="T150" s="95"/>
    </row>
    <row r="151" spans="1:20" x14ac:dyDescent="0.25">
      <c r="A151" s="95"/>
      <c r="B151" s="95"/>
      <c r="C151" s="207"/>
      <c r="D151" s="95"/>
      <c r="E151" s="95"/>
      <c r="F151" s="95"/>
      <c r="G151" s="95"/>
      <c r="H151" s="95"/>
      <c r="I151" s="95"/>
      <c r="J151" s="95"/>
      <c r="K151" s="95"/>
      <c r="L151" s="95"/>
      <c r="M151" s="95"/>
      <c r="N151" s="95"/>
      <c r="O151" s="95"/>
      <c r="P151" s="95"/>
      <c r="Q151" s="95"/>
      <c r="R151" s="95"/>
      <c r="S151" s="95"/>
      <c r="T151" s="95"/>
    </row>
    <row r="152" spans="1:20" x14ac:dyDescent="0.25">
      <c r="A152" s="95"/>
      <c r="B152" s="95"/>
      <c r="C152" s="207"/>
      <c r="D152" s="95"/>
      <c r="E152" s="95"/>
      <c r="F152" s="95"/>
      <c r="G152" s="95"/>
      <c r="H152" s="95"/>
      <c r="I152" s="95"/>
      <c r="J152" s="95"/>
      <c r="K152" s="95"/>
      <c r="L152" s="95"/>
      <c r="M152" s="95"/>
      <c r="N152" s="95"/>
      <c r="O152" s="95"/>
      <c r="P152" s="95"/>
      <c r="Q152" s="95"/>
      <c r="R152" s="95"/>
      <c r="S152" s="95"/>
      <c r="T152" s="95"/>
    </row>
    <row r="153" spans="1:20" x14ac:dyDescent="0.25">
      <c r="A153" s="95"/>
      <c r="B153" s="95"/>
      <c r="C153" s="207"/>
      <c r="D153" s="95"/>
      <c r="E153" s="95"/>
      <c r="F153" s="95"/>
      <c r="G153" s="95"/>
      <c r="H153" s="95"/>
      <c r="I153" s="95"/>
      <c r="J153" s="95"/>
      <c r="K153" s="95"/>
      <c r="L153" s="95"/>
      <c r="M153" s="95"/>
      <c r="N153" s="95"/>
      <c r="O153" s="95"/>
      <c r="P153" s="95"/>
      <c r="Q153" s="95"/>
      <c r="R153" s="95"/>
      <c r="S153" s="95"/>
      <c r="T153" s="95"/>
    </row>
    <row r="154" spans="1:20" x14ac:dyDescent="0.25">
      <c r="A154" s="95"/>
      <c r="B154" s="95"/>
      <c r="C154" s="207"/>
      <c r="D154" s="95"/>
      <c r="E154" s="95"/>
      <c r="F154" s="95"/>
      <c r="G154" s="95"/>
      <c r="H154" s="95"/>
      <c r="I154" s="95"/>
      <c r="J154" s="95"/>
      <c r="K154" s="95"/>
      <c r="L154" s="95"/>
      <c r="M154" s="95"/>
      <c r="N154" s="95"/>
      <c r="O154" s="95"/>
      <c r="P154" s="95"/>
      <c r="Q154" s="95"/>
      <c r="R154" s="95"/>
      <c r="S154" s="95"/>
      <c r="T154" s="95"/>
    </row>
    <row r="155" spans="1:20" x14ac:dyDescent="0.25">
      <c r="A155" s="95"/>
      <c r="B155" s="95"/>
      <c r="C155" s="207"/>
      <c r="D155" s="95"/>
      <c r="E155" s="95"/>
      <c r="F155" s="95"/>
      <c r="G155" s="95"/>
      <c r="H155" s="95"/>
      <c r="I155" s="95"/>
      <c r="J155" s="95"/>
      <c r="K155" s="95"/>
      <c r="L155" s="95"/>
      <c r="M155" s="95"/>
      <c r="N155" s="95"/>
      <c r="O155" s="95"/>
      <c r="P155" s="95"/>
      <c r="Q155" s="95"/>
      <c r="R155" s="95"/>
      <c r="S155" s="95"/>
      <c r="T155" s="95"/>
    </row>
    <row r="156" spans="1:20" x14ac:dyDescent="0.25">
      <c r="A156" s="95"/>
      <c r="B156" s="95"/>
      <c r="C156" s="207"/>
      <c r="D156" s="95"/>
      <c r="E156" s="95"/>
      <c r="F156" s="95"/>
      <c r="G156" s="95"/>
      <c r="H156" s="95"/>
      <c r="I156" s="95"/>
      <c r="J156" s="95"/>
      <c r="K156" s="95"/>
      <c r="L156" s="95"/>
      <c r="M156" s="95"/>
      <c r="N156" s="95"/>
      <c r="O156" s="95"/>
      <c r="P156" s="95"/>
      <c r="Q156" s="95"/>
      <c r="R156" s="95"/>
      <c r="S156" s="95"/>
      <c r="T156" s="95"/>
    </row>
    <row r="157" spans="1:20" x14ac:dyDescent="0.25">
      <c r="A157" s="95"/>
      <c r="B157" s="95"/>
      <c r="C157" s="207"/>
      <c r="D157" s="95"/>
      <c r="E157" s="95"/>
      <c r="F157" s="95"/>
      <c r="G157" s="95"/>
      <c r="H157" s="95"/>
      <c r="I157" s="95"/>
      <c r="J157" s="95"/>
      <c r="K157" s="95"/>
      <c r="L157" s="95"/>
      <c r="M157" s="95"/>
      <c r="N157" s="95"/>
      <c r="O157" s="95"/>
      <c r="P157" s="95"/>
      <c r="Q157" s="95"/>
      <c r="R157" s="95"/>
      <c r="S157" s="95"/>
      <c r="T157" s="95"/>
    </row>
    <row r="158" spans="1:20" x14ac:dyDescent="0.25">
      <c r="A158" s="95"/>
      <c r="B158" s="95"/>
      <c r="C158" s="207"/>
      <c r="D158" s="95"/>
      <c r="E158" s="95"/>
      <c r="F158" s="95"/>
      <c r="G158" s="95"/>
      <c r="H158" s="95"/>
      <c r="I158" s="95"/>
      <c r="J158" s="95"/>
      <c r="K158" s="95"/>
      <c r="L158" s="95"/>
      <c r="M158" s="95"/>
      <c r="N158" s="95"/>
      <c r="O158" s="95"/>
      <c r="P158" s="95"/>
      <c r="Q158" s="95"/>
      <c r="R158" s="95"/>
      <c r="S158" s="95"/>
      <c r="T158" s="95"/>
    </row>
    <row r="159" spans="1:20" x14ac:dyDescent="0.25">
      <c r="A159" s="95"/>
      <c r="B159" s="95"/>
      <c r="C159" s="207"/>
      <c r="D159" s="95"/>
      <c r="E159" s="95"/>
      <c r="F159" s="95"/>
      <c r="G159" s="95"/>
      <c r="H159" s="95"/>
      <c r="I159" s="95"/>
      <c r="J159" s="95"/>
      <c r="K159" s="95"/>
      <c r="L159" s="95"/>
      <c r="M159" s="95"/>
      <c r="N159" s="95"/>
      <c r="O159" s="95"/>
      <c r="P159" s="95"/>
      <c r="Q159" s="95"/>
      <c r="R159" s="95"/>
      <c r="S159" s="95"/>
      <c r="T159" s="95"/>
    </row>
    <row r="160" spans="1:20" x14ac:dyDescent="0.25">
      <c r="A160" s="95"/>
      <c r="B160" s="95"/>
      <c r="C160" s="207"/>
      <c r="D160" s="95"/>
      <c r="E160" s="95"/>
      <c r="F160" s="95"/>
      <c r="G160" s="95"/>
      <c r="H160" s="95"/>
      <c r="I160" s="95"/>
      <c r="J160" s="95"/>
      <c r="K160" s="95"/>
      <c r="L160" s="95"/>
      <c r="M160" s="95"/>
      <c r="N160" s="95"/>
      <c r="O160" s="95"/>
      <c r="P160" s="95"/>
      <c r="Q160" s="95"/>
      <c r="R160" s="95"/>
      <c r="S160" s="95"/>
      <c r="T160" s="95"/>
    </row>
    <row r="161" spans="1:20" x14ac:dyDescent="0.25">
      <c r="A161" s="95"/>
      <c r="B161" s="95"/>
      <c r="C161" s="207"/>
      <c r="D161" s="95"/>
      <c r="E161" s="95"/>
      <c r="F161" s="95"/>
      <c r="G161" s="95"/>
      <c r="H161" s="95"/>
      <c r="I161" s="95"/>
      <c r="J161" s="95"/>
      <c r="K161" s="95"/>
      <c r="L161" s="95"/>
      <c r="M161" s="95"/>
      <c r="N161" s="95"/>
      <c r="O161" s="95"/>
      <c r="P161" s="95"/>
      <c r="Q161" s="95"/>
      <c r="R161" s="95"/>
      <c r="S161" s="95"/>
      <c r="T161" s="95"/>
    </row>
    <row r="162" spans="1:20" x14ac:dyDescent="0.25">
      <c r="A162" s="95"/>
      <c r="B162" s="95"/>
      <c r="C162" s="207"/>
      <c r="D162" s="95"/>
      <c r="E162" s="95"/>
      <c r="F162" s="95"/>
      <c r="G162" s="95"/>
      <c r="H162" s="95"/>
      <c r="I162" s="95"/>
      <c r="J162" s="95"/>
      <c r="K162" s="95"/>
      <c r="L162" s="95"/>
      <c r="M162" s="95"/>
      <c r="N162" s="95"/>
      <c r="O162" s="95"/>
      <c r="P162" s="95"/>
      <c r="Q162" s="95"/>
      <c r="R162" s="95"/>
      <c r="S162" s="95"/>
      <c r="T162" s="95"/>
    </row>
    <row r="163" spans="1:20" x14ac:dyDescent="0.25">
      <c r="A163" s="95"/>
      <c r="B163" s="95"/>
      <c r="C163" s="207"/>
      <c r="D163" s="95"/>
      <c r="E163" s="95"/>
      <c r="F163" s="95"/>
      <c r="G163" s="95"/>
      <c r="H163" s="95"/>
      <c r="I163" s="95"/>
      <c r="J163" s="95"/>
      <c r="K163" s="95"/>
      <c r="L163" s="95"/>
      <c r="M163" s="95"/>
      <c r="N163" s="95"/>
      <c r="O163" s="95"/>
      <c r="P163" s="95"/>
      <c r="Q163" s="95"/>
      <c r="R163" s="95"/>
      <c r="S163" s="95"/>
      <c r="T163" s="95"/>
    </row>
    <row r="164" spans="1:20" x14ac:dyDescent="0.25">
      <c r="A164" s="95"/>
      <c r="B164" s="95"/>
      <c r="C164" s="207"/>
      <c r="D164" s="95"/>
      <c r="E164" s="95"/>
      <c r="F164" s="95"/>
      <c r="G164" s="95"/>
      <c r="H164" s="95"/>
      <c r="I164" s="95"/>
      <c r="J164" s="95"/>
      <c r="K164" s="95"/>
      <c r="L164" s="95"/>
      <c r="M164" s="95"/>
      <c r="N164" s="95"/>
      <c r="O164" s="95"/>
      <c r="P164" s="95"/>
      <c r="Q164" s="95"/>
      <c r="R164" s="95"/>
      <c r="S164" s="95"/>
      <c r="T164" s="95"/>
    </row>
    <row r="165" spans="1:20" x14ac:dyDescent="0.25">
      <c r="A165" s="95"/>
      <c r="B165" s="95"/>
      <c r="C165" s="207"/>
      <c r="D165" s="95"/>
      <c r="E165" s="95"/>
      <c r="F165" s="95"/>
      <c r="G165" s="95"/>
      <c r="H165" s="95"/>
      <c r="I165" s="95"/>
      <c r="J165" s="95"/>
      <c r="K165" s="95"/>
      <c r="L165" s="95"/>
      <c r="M165" s="95"/>
      <c r="N165" s="95"/>
      <c r="O165" s="95"/>
      <c r="P165" s="95"/>
      <c r="Q165" s="95"/>
      <c r="R165" s="95"/>
      <c r="S165" s="95"/>
      <c r="T165" s="95"/>
    </row>
    <row r="166" spans="1:20" x14ac:dyDescent="0.25">
      <c r="A166" s="95"/>
      <c r="B166" s="95"/>
      <c r="C166" s="207"/>
      <c r="D166" s="95"/>
      <c r="E166" s="95"/>
      <c r="F166" s="95"/>
      <c r="G166" s="95"/>
      <c r="H166" s="95"/>
      <c r="I166" s="95"/>
      <c r="J166" s="95"/>
      <c r="K166" s="95"/>
      <c r="L166" s="95"/>
      <c r="M166" s="95"/>
      <c r="N166" s="95"/>
      <c r="O166" s="95"/>
      <c r="P166" s="95"/>
      <c r="Q166" s="95"/>
      <c r="R166" s="95"/>
      <c r="S166" s="95"/>
      <c r="T166" s="95"/>
    </row>
    <row r="167" spans="1:20" x14ac:dyDescent="0.25">
      <c r="A167" s="95"/>
      <c r="B167" s="95"/>
      <c r="C167" s="207"/>
      <c r="D167" s="95"/>
      <c r="E167" s="95"/>
      <c r="F167" s="95"/>
      <c r="G167" s="95"/>
      <c r="H167" s="95"/>
      <c r="I167" s="95"/>
      <c r="J167" s="95"/>
      <c r="K167" s="95"/>
      <c r="L167" s="95"/>
      <c r="M167" s="95"/>
      <c r="N167" s="95"/>
      <c r="O167" s="95"/>
      <c r="P167" s="95"/>
      <c r="Q167" s="95"/>
      <c r="R167" s="95"/>
      <c r="S167" s="95"/>
      <c r="T167" s="95"/>
    </row>
    <row r="168" spans="1:20" x14ac:dyDescent="0.25">
      <c r="A168" s="95"/>
      <c r="B168" s="95"/>
      <c r="C168" s="207"/>
      <c r="D168" s="95"/>
      <c r="E168" s="95"/>
      <c r="F168" s="95"/>
      <c r="G168" s="95"/>
      <c r="H168" s="95"/>
      <c r="I168" s="95"/>
      <c r="J168" s="95"/>
      <c r="K168" s="95"/>
      <c r="L168" s="95"/>
      <c r="M168" s="95"/>
      <c r="N168" s="95"/>
      <c r="O168" s="95"/>
      <c r="P168" s="95"/>
      <c r="Q168" s="95"/>
      <c r="R168" s="95"/>
      <c r="S168" s="95"/>
      <c r="T168" s="95"/>
    </row>
    <row r="169" spans="1:20" x14ac:dyDescent="0.25">
      <c r="A169" s="95"/>
      <c r="B169" s="95"/>
      <c r="C169" s="207"/>
      <c r="D169" s="95"/>
      <c r="E169" s="95"/>
      <c r="F169" s="95"/>
      <c r="G169" s="95"/>
      <c r="H169" s="95"/>
      <c r="I169" s="95"/>
      <c r="J169" s="95"/>
      <c r="K169" s="95"/>
      <c r="L169" s="95"/>
      <c r="M169" s="95"/>
      <c r="N169" s="95"/>
      <c r="O169" s="95"/>
      <c r="P169" s="95"/>
      <c r="Q169" s="95"/>
      <c r="R169" s="95"/>
      <c r="S169" s="95"/>
      <c r="T169" s="95"/>
    </row>
    <row r="170" spans="1:20" x14ac:dyDescent="0.25">
      <c r="A170" s="95"/>
      <c r="B170" s="95"/>
      <c r="C170" s="207"/>
      <c r="D170" s="95"/>
      <c r="E170" s="95"/>
      <c r="F170" s="95"/>
      <c r="G170" s="95"/>
      <c r="H170" s="95"/>
      <c r="I170" s="95"/>
      <c r="J170" s="95"/>
      <c r="K170" s="95"/>
      <c r="L170" s="95"/>
      <c r="M170" s="95"/>
      <c r="N170" s="95"/>
      <c r="O170" s="95"/>
      <c r="P170" s="95"/>
      <c r="Q170" s="95"/>
      <c r="R170" s="95"/>
      <c r="S170" s="95"/>
      <c r="T170" s="95"/>
    </row>
    <row r="171" spans="1:20" x14ac:dyDescent="0.25">
      <c r="A171" s="95"/>
      <c r="B171" s="95"/>
      <c r="C171" s="207"/>
      <c r="D171" s="95"/>
      <c r="E171" s="95"/>
      <c r="F171" s="95"/>
      <c r="G171" s="95"/>
      <c r="H171" s="95"/>
      <c r="I171" s="95"/>
      <c r="J171" s="95"/>
      <c r="K171" s="95"/>
      <c r="L171" s="95"/>
      <c r="M171" s="95"/>
      <c r="N171" s="95"/>
      <c r="O171" s="95"/>
      <c r="P171" s="95"/>
      <c r="Q171" s="95"/>
      <c r="R171" s="95"/>
      <c r="S171" s="95"/>
      <c r="T171" s="95"/>
    </row>
    <row r="172" spans="1:20" x14ac:dyDescent="0.25">
      <c r="A172" s="95"/>
      <c r="B172" s="95"/>
      <c r="C172" s="207"/>
      <c r="D172" s="95"/>
      <c r="E172" s="95"/>
      <c r="F172" s="95"/>
      <c r="G172" s="95"/>
      <c r="H172" s="95"/>
      <c r="I172" s="95"/>
      <c r="J172" s="95"/>
      <c r="K172" s="95"/>
      <c r="L172" s="95"/>
      <c r="M172" s="95"/>
      <c r="N172" s="95"/>
      <c r="O172" s="95"/>
      <c r="P172" s="95"/>
      <c r="Q172" s="95"/>
      <c r="R172" s="95"/>
      <c r="S172" s="95"/>
      <c r="T172" s="95"/>
    </row>
    <row r="173" spans="1:20" x14ac:dyDescent="0.25">
      <c r="A173" s="95"/>
      <c r="B173" s="95"/>
      <c r="C173" s="207"/>
      <c r="D173" s="95"/>
      <c r="E173" s="95"/>
      <c r="F173" s="95"/>
      <c r="G173" s="95"/>
      <c r="H173" s="95"/>
      <c r="I173" s="95"/>
      <c r="J173" s="95"/>
      <c r="K173" s="95"/>
      <c r="L173" s="95"/>
      <c r="M173" s="95"/>
      <c r="N173" s="95"/>
      <c r="O173" s="95"/>
      <c r="P173" s="95"/>
      <c r="Q173" s="95"/>
      <c r="R173" s="95"/>
      <c r="S173" s="95"/>
      <c r="T173" s="95"/>
    </row>
    <row r="174" spans="1:20" x14ac:dyDescent="0.25">
      <c r="A174" s="95"/>
      <c r="B174" s="95"/>
      <c r="C174" s="207"/>
      <c r="D174" s="95"/>
      <c r="E174" s="95"/>
      <c r="F174" s="95"/>
      <c r="G174" s="95"/>
      <c r="H174" s="95"/>
      <c r="I174" s="95"/>
      <c r="J174" s="95"/>
      <c r="K174" s="95"/>
      <c r="L174" s="95"/>
      <c r="M174" s="95"/>
      <c r="N174" s="95"/>
      <c r="O174" s="95"/>
      <c r="P174" s="95"/>
      <c r="Q174" s="95"/>
      <c r="R174" s="95"/>
      <c r="S174" s="95"/>
      <c r="T174" s="95"/>
    </row>
    <row r="175" spans="1:20" x14ac:dyDescent="0.25">
      <c r="A175" s="95"/>
      <c r="B175" s="95"/>
      <c r="C175" s="207"/>
      <c r="D175" s="95"/>
      <c r="E175" s="95"/>
      <c r="F175" s="95"/>
      <c r="G175" s="95"/>
      <c r="H175" s="95"/>
      <c r="I175" s="95"/>
      <c r="J175" s="95"/>
      <c r="K175" s="95"/>
      <c r="L175" s="95"/>
      <c r="M175" s="95"/>
      <c r="N175" s="95"/>
      <c r="O175" s="95"/>
      <c r="P175" s="95"/>
      <c r="Q175" s="95"/>
      <c r="R175" s="95"/>
      <c r="S175" s="95"/>
      <c r="T175" s="95"/>
    </row>
    <row r="176" spans="1:20" x14ac:dyDescent="0.25">
      <c r="A176" s="95"/>
      <c r="B176" s="95"/>
      <c r="C176" s="207"/>
      <c r="D176" s="95"/>
      <c r="E176" s="95"/>
      <c r="F176" s="95"/>
      <c r="G176" s="95"/>
      <c r="H176" s="95"/>
      <c r="I176" s="95"/>
      <c r="J176" s="95"/>
      <c r="K176" s="95"/>
      <c r="L176" s="95"/>
      <c r="M176" s="95"/>
      <c r="N176" s="95"/>
      <c r="O176" s="95"/>
      <c r="P176" s="95"/>
      <c r="Q176" s="95"/>
      <c r="R176" s="95"/>
      <c r="S176" s="95"/>
      <c r="T176" s="95"/>
    </row>
    <row r="177" spans="1:20" x14ac:dyDescent="0.25">
      <c r="A177" s="95"/>
      <c r="B177" s="95"/>
      <c r="C177" s="207"/>
      <c r="D177" s="95"/>
      <c r="E177" s="95"/>
      <c r="F177" s="95"/>
      <c r="G177" s="95"/>
      <c r="H177" s="95"/>
      <c r="I177" s="95"/>
      <c r="J177" s="95"/>
      <c r="K177" s="95"/>
      <c r="L177" s="95"/>
      <c r="M177" s="95"/>
      <c r="N177" s="95"/>
      <c r="O177" s="95"/>
      <c r="P177" s="95"/>
      <c r="Q177" s="95"/>
      <c r="R177" s="95"/>
      <c r="S177" s="95"/>
      <c r="T177" s="95"/>
    </row>
    <row r="178" spans="1:20" x14ac:dyDescent="0.25">
      <c r="A178" s="95"/>
      <c r="B178" s="95"/>
      <c r="C178" s="207"/>
      <c r="D178" s="95"/>
      <c r="E178" s="95"/>
      <c r="F178" s="95"/>
      <c r="G178" s="95"/>
      <c r="H178" s="95"/>
      <c r="I178" s="95"/>
      <c r="J178" s="95"/>
      <c r="K178" s="95"/>
      <c r="L178" s="95"/>
      <c r="M178" s="95"/>
      <c r="N178" s="95"/>
      <c r="O178" s="95"/>
      <c r="P178" s="95"/>
      <c r="Q178" s="95"/>
      <c r="R178" s="95"/>
      <c r="S178" s="95"/>
      <c r="T178" s="95"/>
    </row>
    <row r="179" spans="1:20" x14ac:dyDescent="0.25">
      <c r="A179" s="95"/>
      <c r="B179" s="95"/>
      <c r="C179" s="207"/>
      <c r="D179" s="95"/>
      <c r="E179" s="95"/>
      <c r="F179" s="95"/>
      <c r="G179" s="95"/>
      <c r="H179" s="95"/>
      <c r="I179" s="95"/>
      <c r="J179" s="95"/>
      <c r="K179" s="95"/>
      <c r="L179" s="95"/>
      <c r="M179" s="95"/>
      <c r="N179" s="95"/>
      <c r="O179" s="95"/>
      <c r="P179" s="95"/>
      <c r="Q179" s="95"/>
      <c r="R179" s="95"/>
      <c r="S179" s="95"/>
      <c r="T179" s="95"/>
    </row>
    <row r="180" spans="1:20" x14ac:dyDescent="0.25">
      <c r="A180" s="95"/>
      <c r="B180" s="95"/>
      <c r="C180" s="207"/>
      <c r="D180" s="95"/>
      <c r="E180" s="95"/>
      <c r="F180" s="95"/>
      <c r="G180" s="95"/>
      <c r="H180" s="95"/>
      <c r="I180" s="95"/>
      <c r="J180" s="95"/>
      <c r="K180" s="95"/>
      <c r="L180" s="95"/>
      <c r="M180" s="95"/>
      <c r="N180" s="95"/>
      <c r="O180" s="95"/>
      <c r="P180" s="95"/>
      <c r="Q180" s="95"/>
      <c r="R180" s="95"/>
      <c r="S180" s="95"/>
      <c r="T180" s="95"/>
    </row>
    <row r="181" spans="1:20" x14ac:dyDescent="0.25">
      <c r="A181" s="95"/>
      <c r="B181" s="95"/>
      <c r="C181" s="207"/>
      <c r="D181" s="95"/>
      <c r="E181" s="95"/>
      <c r="F181" s="95"/>
      <c r="G181" s="95"/>
      <c r="H181" s="95"/>
      <c r="I181" s="95"/>
      <c r="J181" s="95"/>
      <c r="K181" s="95"/>
      <c r="L181" s="95"/>
      <c r="M181" s="95"/>
      <c r="N181" s="95"/>
      <c r="O181" s="95"/>
      <c r="P181" s="95"/>
      <c r="Q181" s="95"/>
      <c r="R181" s="95"/>
      <c r="S181" s="95"/>
      <c r="T181" s="95"/>
    </row>
    <row r="182" spans="1:20" x14ac:dyDescent="0.25">
      <c r="A182" s="95"/>
      <c r="B182" s="95"/>
      <c r="C182" s="207"/>
      <c r="D182" s="95"/>
      <c r="E182" s="95"/>
      <c r="F182" s="95"/>
      <c r="G182" s="95"/>
      <c r="H182" s="95"/>
      <c r="I182" s="95"/>
      <c r="J182" s="95"/>
      <c r="K182" s="95"/>
      <c r="L182" s="95"/>
      <c r="M182" s="95"/>
      <c r="N182" s="95"/>
      <c r="O182" s="95"/>
      <c r="P182" s="95"/>
      <c r="Q182" s="95"/>
      <c r="R182" s="95"/>
      <c r="S182" s="95"/>
      <c r="T182" s="95"/>
    </row>
    <row r="183" spans="1:20" x14ac:dyDescent="0.25">
      <c r="A183" s="95"/>
      <c r="B183" s="95"/>
      <c r="C183" s="207"/>
      <c r="D183" s="95"/>
      <c r="E183" s="95"/>
      <c r="F183" s="95"/>
      <c r="G183" s="95"/>
      <c r="H183" s="95"/>
      <c r="I183" s="95"/>
      <c r="J183" s="95"/>
      <c r="K183" s="95"/>
      <c r="L183" s="95"/>
      <c r="M183" s="95"/>
      <c r="N183" s="95"/>
      <c r="O183" s="95"/>
      <c r="P183" s="95"/>
      <c r="Q183" s="95"/>
      <c r="R183" s="95"/>
      <c r="S183" s="95"/>
      <c r="T183" s="95"/>
    </row>
    <row r="184" spans="1:20" x14ac:dyDescent="0.25">
      <c r="A184" s="95"/>
      <c r="B184" s="95"/>
      <c r="C184" s="207"/>
      <c r="D184" s="95"/>
      <c r="E184" s="95"/>
      <c r="F184" s="95"/>
      <c r="G184" s="95"/>
      <c r="H184" s="95"/>
      <c r="I184" s="95"/>
      <c r="J184" s="95"/>
      <c r="K184" s="95"/>
      <c r="L184" s="95"/>
      <c r="M184" s="95"/>
      <c r="N184" s="95"/>
      <c r="O184" s="95"/>
      <c r="P184" s="95"/>
      <c r="Q184" s="95"/>
      <c r="R184" s="95"/>
      <c r="S184" s="95"/>
      <c r="T184" s="95"/>
    </row>
    <row r="185" spans="1:20" x14ac:dyDescent="0.25">
      <c r="A185" s="95"/>
      <c r="B185" s="95"/>
      <c r="C185" s="207"/>
      <c r="D185" s="95"/>
      <c r="E185" s="95"/>
      <c r="F185" s="95"/>
      <c r="G185" s="95"/>
      <c r="H185" s="95"/>
      <c r="I185" s="95"/>
      <c r="J185" s="95"/>
      <c r="K185" s="95"/>
      <c r="L185" s="95"/>
      <c r="M185" s="95"/>
      <c r="N185" s="95"/>
      <c r="O185" s="95"/>
      <c r="P185" s="95"/>
      <c r="Q185" s="95"/>
      <c r="R185" s="95"/>
      <c r="S185" s="95"/>
      <c r="T185" s="95"/>
    </row>
    <row r="186" spans="1:20" x14ac:dyDescent="0.25">
      <c r="A186" s="95"/>
      <c r="B186" s="95"/>
      <c r="C186" s="207"/>
      <c r="D186" s="95"/>
      <c r="E186" s="95"/>
      <c r="F186" s="95"/>
      <c r="G186" s="95"/>
      <c r="H186" s="95"/>
      <c r="I186" s="95"/>
      <c r="J186" s="95"/>
      <c r="K186" s="95"/>
      <c r="L186" s="95"/>
      <c r="M186" s="95"/>
      <c r="N186" s="95"/>
      <c r="O186" s="95"/>
      <c r="P186" s="95"/>
      <c r="Q186" s="95"/>
      <c r="R186" s="95"/>
      <c r="S186" s="95"/>
      <c r="T186" s="95"/>
    </row>
    <row r="187" spans="1:20" x14ac:dyDescent="0.25">
      <c r="A187" s="95"/>
      <c r="B187" s="95"/>
      <c r="C187" s="207"/>
      <c r="D187" s="95"/>
      <c r="E187" s="95"/>
      <c r="F187" s="95"/>
      <c r="G187" s="95"/>
      <c r="H187" s="95"/>
      <c r="I187" s="95"/>
      <c r="J187" s="95"/>
      <c r="K187" s="95"/>
      <c r="L187" s="95"/>
      <c r="M187" s="95"/>
      <c r="N187" s="95"/>
      <c r="O187" s="95"/>
      <c r="P187" s="95"/>
      <c r="Q187" s="95"/>
      <c r="R187" s="95"/>
      <c r="S187" s="95"/>
      <c r="T187" s="95"/>
    </row>
    <row r="188" spans="1:20" x14ac:dyDescent="0.25">
      <c r="A188" s="95"/>
      <c r="B188" s="95"/>
      <c r="C188" s="207"/>
      <c r="D188" s="95"/>
      <c r="E188" s="95"/>
      <c r="F188" s="95"/>
      <c r="G188" s="95"/>
      <c r="H188" s="95"/>
      <c r="I188" s="95"/>
      <c r="J188" s="95"/>
      <c r="K188" s="95"/>
      <c r="L188" s="95"/>
      <c r="M188" s="95"/>
      <c r="N188" s="95"/>
      <c r="O188" s="95"/>
      <c r="P188" s="95"/>
      <c r="Q188" s="95"/>
      <c r="R188" s="95"/>
      <c r="S188" s="95"/>
      <c r="T188" s="95"/>
    </row>
    <row r="189" spans="1:20" x14ac:dyDescent="0.25">
      <c r="A189" s="95"/>
      <c r="B189" s="95"/>
      <c r="C189" s="207"/>
      <c r="D189" s="95"/>
      <c r="E189" s="95"/>
      <c r="F189" s="95"/>
      <c r="G189" s="95"/>
      <c r="H189" s="95"/>
      <c r="I189" s="95"/>
      <c r="J189" s="95"/>
      <c r="K189" s="95"/>
      <c r="L189" s="95"/>
      <c r="M189" s="95"/>
      <c r="N189" s="95"/>
      <c r="O189" s="95"/>
      <c r="P189" s="95"/>
      <c r="Q189" s="95"/>
      <c r="R189" s="95"/>
      <c r="S189" s="95"/>
      <c r="T189" s="95"/>
    </row>
    <row r="190" spans="1:20" x14ac:dyDescent="0.25">
      <c r="A190" s="95"/>
      <c r="B190" s="95"/>
      <c r="C190" s="207"/>
      <c r="D190" s="95"/>
      <c r="E190" s="95"/>
      <c r="F190" s="95"/>
      <c r="G190" s="95"/>
      <c r="H190" s="95"/>
      <c r="I190" s="95"/>
      <c r="J190" s="95"/>
      <c r="K190" s="95"/>
      <c r="L190" s="95"/>
      <c r="M190" s="95"/>
      <c r="N190" s="95"/>
      <c r="O190" s="95"/>
      <c r="P190" s="95"/>
      <c r="Q190" s="95"/>
      <c r="R190" s="95"/>
      <c r="S190" s="95"/>
      <c r="T190" s="95"/>
    </row>
    <row r="191" spans="1:20" x14ac:dyDescent="0.25">
      <c r="A191" s="95"/>
      <c r="B191" s="95"/>
      <c r="C191" s="207"/>
      <c r="D191" s="95"/>
      <c r="E191" s="95"/>
      <c r="F191" s="95"/>
      <c r="G191" s="95"/>
      <c r="H191" s="95"/>
      <c r="I191" s="95"/>
      <c r="J191" s="95"/>
      <c r="K191" s="95"/>
      <c r="L191" s="95"/>
      <c r="M191" s="95"/>
      <c r="N191" s="95"/>
      <c r="O191" s="95"/>
      <c r="P191" s="95"/>
      <c r="Q191" s="95"/>
      <c r="R191" s="95"/>
      <c r="S191" s="95"/>
      <c r="T191" s="95"/>
    </row>
    <row r="192" spans="1:20" x14ac:dyDescent="0.25">
      <c r="A192" s="95"/>
      <c r="B192" s="95"/>
      <c r="C192" s="207"/>
      <c r="D192" s="95"/>
      <c r="E192" s="95"/>
      <c r="F192" s="95"/>
      <c r="G192" s="95"/>
      <c r="H192" s="95"/>
      <c r="I192" s="95"/>
      <c r="J192" s="95"/>
      <c r="K192" s="95"/>
      <c r="L192" s="95"/>
      <c r="M192" s="95"/>
      <c r="N192" s="95"/>
      <c r="O192" s="95"/>
      <c r="P192" s="95"/>
      <c r="Q192" s="95"/>
      <c r="R192" s="95"/>
      <c r="S192" s="95"/>
      <c r="T192" s="95"/>
    </row>
    <row r="193" spans="1:20" x14ac:dyDescent="0.25">
      <c r="A193" s="95"/>
      <c r="B193" s="95"/>
      <c r="C193" s="207"/>
      <c r="D193" s="95"/>
      <c r="E193" s="95"/>
      <c r="F193" s="95"/>
      <c r="G193" s="95"/>
      <c r="H193" s="95"/>
      <c r="I193" s="95"/>
      <c r="J193" s="95"/>
      <c r="K193" s="95"/>
      <c r="L193" s="95"/>
      <c r="M193" s="95"/>
      <c r="N193" s="95"/>
      <c r="O193" s="95"/>
      <c r="P193" s="95"/>
      <c r="Q193" s="95"/>
      <c r="R193" s="95"/>
      <c r="S193" s="95"/>
      <c r="T193" s="95"/>
    </row>
    <row r="194" spans="1:20" x14ac:dyDescent="0.25">
      <c r="A194" s="95"/>
      <c r="B194" s="95"/>
      <c r="C194" s="207"/>
      <c r="D194" s="95"/>
      <c r="E194" s="95"/>
      <c r="F194" s="95"/>
      <c r="G194" s="95"/>
      <c r="H194" s="95"/>
      <c r="I194" s="95"/>
      <c r="J194" s="95"/>
      <c r="K194" s="95"/>
      <c r="L194" s="95"/>
      <c r="M194" s="95"/>
      <c r="N194" s="95"/>
      <c r="O194" s="95"/>
      <c r="P194" s="95"/>
      <c r="Q194" s="95"/>
      <c r="R194" s="95"/>
      <c r="S194" s="95"/>
      <c r="T194" s="95"/>
    </row>
    <row r="195" spans="1:20" x14ac:dyDescent="0.25">
      <c r="A195" s="95"/>
      <c r="B195" s="95"/>
      <c r="C195" s="207"/>
      <c r="D195" s="95"/>
      <c r="E195" s="95"/>
      <c r="F195" s="95"/>
      <c r="G195" s="95"/>
      <c r="H195" s="95"/>
      <c r="I195" s="95"/>
      <c r="J195" s="95"/>
      <c r="K195" s="95"/>
      <c r="L195" s="95"/>
      <c r="M195" s="95"/>
      <c r="N195" s="95"/>
      <c r="O195" s="95"/>
      <c r="P195" s="95"/>
      <c r="Q195" s="95"/>
      <c r="R195" s="95"/>
      <c r="S195" s="95"/>
      <c r="T195" s="95"/>
    </row>
    <row r="196" spans="1:20" x14ac:dyDescent="0.25">
      <c r="A196" s="95"/>
      <c r="B196" s="95"/>
      <c r="C196" s="207"/>
      <c r="D196" s="95"/>
      <c r="E196" s="95"/>
      <c r="F196" s="95"/>
      <c r="G196" s="95"/>
      <c r="H196" s="95"/>
      <c r="I196" s="95"/>
      <c r="J196" s="95"/>
      <c r="K196" s="95"/>
      <c r="L196" s="95"/>
      <c r="M196" s="95"/>
      <c r="N196" s="95"/>
      <c r="O196" s="95"/>
      <c r="P196" s="95"/>
      <c r="Q196" s="95"/>
      <c r="R196" s="95"/>
      <c r="S196" s="95"/>
      <c r="T196" s="95"/>
    </row>
    <row r="197" spans="1:20" x14ac:dyDescent="0.25">
      <c r="A197" s="95"/>
      <c r="B197" s="95"/>
      <c r="C197" s="207"/>
      <c r="D197" s="95"/>
      <c r="E197" s="95"/>
      <c r="F197" s="95"/>
      <c r="G197" s="95"/>
      <c r="H197" s="95"/>
      <c r="I197" s="95"/>
      <c r="J197" s="95"/>
      <c r="K197" s="95"/>
      <c r="L197" s="95"/>
      <c r="M197" s="95"/>
      <c r="N197" s="95"/>
      <c r="O197" s="95"/>
      <c r="P197" s="95"/>
      <c r="Q197" s="95"/>
      <c r="R197" s="95"/>
      <c r="S197" s="95"/>
      <c r="T197" s="95"/>
    </row>
    <row r="198" spans="1:20" x14ac:dyDescent="0.25">
      <c r="A198" s="95"/>
      <c r="B198" s="95"/>
      <c r="C198" s="207"/>
      <c r="D198" s="95"/>
      <c r="E198" s="95"/>
      <c r="F198" s="95"/>
      <c r="G198" s="95"/>
      <c r="H198" s="95"/>
      <c r="I198" s="95"/>
      <c r="J198" s="95"/>
      <c r="K198" s="95"/>
      <c r="L198" s="95"/>
      <c r="M198" s="95"/>
      <c r="N198" s="95"/>
      <c r="O198" s="95"/>
      <c r="P198" s="95"/>
      <c r="Q198" s="95"/>
      <c r="R198" s="95"/>
      <c r="S198" s="95"/>
      <c r="T198" s="95"/>
    </row>
    <row r="199" spans="1:20" x14ac:dyDescent="0.25">
      <c r="A199" s="95"/>
      <c r="B199" s="95"/>
      <c r="C199" s="207"/>
      <c r="D199" s="95"/>
      <c r="E199" s="95"/>
      <c r="F199" s="95"/>
      <c r="G199" s="95"/>
      <c r="H199" s="95"/>
      <c r="I199" s="95"/>
      <c r="J199" s="95"/>
      <c r="K199" s="95"/>
      <c r="L199" s="95"/>
      <c r="M199" s="95"/>
      <c r="N199" s="95"/>
      <c r="O199" s="95"/>
      <c r="P199" s="95"/>
      <c r="Q199" s="95"/>
      <c r="R199" s="95"/>
      <c r="S199" s="95"/>
      <c r="T199" s="95"/>
    </row>
    <row r="200" spans="1:20" x14ac:dyDescent="0.25">
      <c r="A200" s="95"/>
      <c r="B200" s="95"/>
      <c r="C200" s="207"/>
      <c r="D200" s="95"/>
      <c r="E200" s="95"/>
      <c r="F200" s="95"/>
      <c r="G200" s="95"/>
      <c r="H200" s="95"/>
      <c r="I200" s="95"/>
      <c r="J200" s="95"/>
      <c r="K200" s="95"/>
      <c r="L200" s="95"/>
      <c r="M200" s="95"/>
      <c r="N200" s="95"/>
      <c r="O200" s="95"/>
      <c r="P200" s="95"/>
      <c r="Q200" s="95"/>
      <c r="R200" s="95"/>
      <c r="S200" s="95"/>
      <c r="T200" s="95"/>
    </row>
    <row r="201" spans="1:20" x14ac:dyDescent="0.25">
      <c r="A201" s="95"/>
      <c r="B201" s="95"/>
      <c r="C201" s="207"/>
      <c r="D201" s="95"/>
      <c r="E201" s="95"/>
      <c r="F201" s="95"/>
      <c r="G201" s="95"/>
      <c r="H201" s="95"/>
      <c r="I201" s="95"/>
      <c r="J201" s="95"/>
      <c r="K201" s="95"/>
      <c r="L201" s="95"/>
      <c r="M201" s="95"/>
      <c r="N201" s="95"/>
      <c r="O201" s="95"/>
      <c r="P201" s="95"/>
      <c r="Q201" s="95"/>
      <c r="R201" s="95"/>
      <c r="S201" s="95"/>
      <c r="T201" s="95"/>
    </row>
    <row r="202" spans="1:20" x14ac:dyDescent="0.25">
      <c r="A202" s="95"/>
      <c r="B202" s="95"/>
      <c r="C202" s="207"/>
      <c r="D202" s="95"/>
      <c r="E202" s="95"/>
      <c r="F202" s="95"/>
      <c r="G202" s="95"/>
      <c r="H202" s="95"/>
      <c r="I202" s="95"/>
      <c r="J202" s="95"/>
      <c r="K202" s="95"/>
      <c r="L202" s="95"/>
      <c r="M202" s="95"/>
      <c r="N202" s="95"/>
      <c r="O202" s="95"/>
      <c r="P202" s="95"/>
      <c r="Q202" s="95"/>
      <c r="R202" s="95"/>
      <c r="S202" s="95"/>
      <c r="T202" s="95"/>
    </row>
    <row r="203" spans="1:20" x14ac:dyDescent="0.25">
      <c r="A203" s="95"/>
      <c r="B203" s="95"/>
      <c r="C203" s="207"/>
      <c r="D203" s="95"/>
      <c r="E203" s="95"/>
      <c r="F203" s="95"/>
      <c r="G203" s="95"/>
      <c r="H203" s="95"/>
      <c r="I203" s="95"/>
      <c r="J203" s="95"/>
      <c r="K203" s="95"/>
      <c r="L203" s="95"/>
      <c r="M203" s="95"/>
      <c r="N203" s="95"/>
      <c r="O203" s="95"/>
      <c r="P203" s="95"/>
      <c r="Q203" s="95"/>
      <c r="R203" s="95"/>
      <c r="S203" s="95"/>
      <c r="T203" s="95"/>
    </row>
    <row r="204" spans="1:20" x14ac:dyDescent="0.25">
      <c r="A204" s="95"/>
      <c r="B204" s="95"/>
      <c r="C204" s="207"/>
      <c r="D204" s="95"/>
      <c r="E204" s="95"/>
      <c r="F204" s="95"/>
      <c r="G204" s="95"/>
      <c r="H204" s="95"/>
      <c r="I204" s="95"/>
      <c r="J204" s="95"/>
      <c r="K204" s="95"/>
      <c r="L204" s="95"/>
      <c r="M204" s="95"/>
      <c r="N204" s="95"/>
      <c r="O204" s="95"/>
      <c r="P204" s="95"/>
      <c r="Q204" s="95"/>
      <c r="R204" s="95"/>
      <c r="S204" s="95"/>
      <c r="T204" s="95"/>
    </row>
    <row r="205" spans="1:20" x14ac:dyDescent="0.25">
      <c r="A205" s="95"/>
      <c r="B205" s="95"/>
      <c r="C205" s="207"/>
      <c r="D205" s="95"/>
      <c r="E205" s="95"/>
      <c r="F205" s="95"/>
      <c r="G205" s="95"/>
      <c r="H205" s="95"/>
      <c r="I205" s="95"/>
      <c r="J205" s="95"/>
      <c r="K205" s="95"/>
      <c r="L205" s="95"/>
      <c r="M205" s="95"/>
      <c r="N205" s="95"/>
      <c r="O205" s="95"/>
      <c r="P205" s="95"/>
      <c r="Q205" s="95"/>
      <c r="R205" s="95"/>
      <c r="S205" s="95"/>
      <c r="T205" s="95"/>
    </row>
    <row r="206" spans="1:20" x14ac:dyDescent="0.25">
      <c r="A206" s="95"/>
      <c r="B206" s="95"/>
      <c r="C206" s="207"/>
      <c r="D206" s="95"/>
      <c r="E206" s="95"/>
      <c r="F206" s="95"/>
      <c r="G206" s="95"/>
      <c r="H206" s="95"/>
      <c r="I206" s="95"/>
      <c r="J206" s="95"/>
      <c r="K206" s="95"/>
      <c r="L206" s="95"/>
      <c r="M206" s="95"/>
      <c r="N206" s="95"/>
      <c r="O206" s="95"/>
      <c r="P206" s="95"/>
      <c r="Q206" s="95"/>
      <c r="R206" s="95"/>
      <c r="S206" s="95"/>
      <c r="T206" s="95"/>
    </row>
    <row r="207" spans="1:20" x14ac:dyDescent="0.25">
      <c r="A207" s="95"/>
      <c r="B207" s="95"/>
      <c r="C207" s="207"/>
      <c r="D207" s="95"/>
      <c r="E207" s="95"/>
      <c r="F207" s="95"/>
      <c r="G207" s="95"/>
      <c r="H207" s="95"/>
      <c r="I207" s="95"/>
      <c r="J207" s="95"/>
      <c r="K207" s="95"/>
      <c r="L207" s="95"/>
      <c r="M207" s="95"/>
      <c r="N207" s="95"/>
      <c r="O207" s="95"/>
      <c r="P207" s="95"/>
      <c r="Q207" s="95"/>
      <c r="R207" s="95"/>
      <c r="S207" s="95"/>
      <c r="T207" s="95"/>
    </row>
    <row r="208" spans="1:20" x14ac:dyDescent="0.25">
      <c r="A208" s="95"/>
      <c r="B208" s="95"/>
      <c r="C208" s="207"/>
      <c r="D208" s="95"/>
      <c r="E208" s="95"/>
      <c r="F208" s="95"/>
      <c r="G208" s="95"/>
      <c r="H208" s="95"/>
      <c r="I208" s="95"/>
      <c r="J208" s="95"/>
      <c r="K208" s="95"/>
      <c r="L208" s="95"/>
      <c r="M208" s="95"/>
      <c r="N208" s="95"/>
      <c r="O208" s="95"/>
      <c r="P208" s="95"/>
      <c r="Q208" s="95"/>
      <c r="R208" s="95"/>
      <c r="S208" s="95"/>
      <c r="T208" s="95"/>
    </row>
    <row r="209" spans="1:20" x14ac:dyDescent="0.25">
      <c r="A209" s="95"/>
      <c r="B209" s="95"/>
      <c r="C209" s="207"/>
      <c r="D209" s="95"/>
      <c r="E209" s="95"/>
      <c r="F209" s="95"/>
      <c r="G209" s="95"/>
      <c r="H209" s="95"/>
      <c r="I209" s="95"/>
      <c r="J209" s="95"/>
      <c r="K209" s="95"/>
      <c r="L209" s="95"/>
      <c r="M209" s="95"/>
      <c r="N209" s="95"/>
      <c r="O209" s="95"/>
      <c r="P209" s="95"/>
      <c r="Q209" s="95"/>
      <c r="R209" s="95"/>
      <c r="S209" s="95"/>
      <c r="T209" s="95"/>
    </row>
    <row r="210" spans="1:20" x14ac:dyDescent="0.25">
      <c r="A210" s="95"/>
      <c r="B210" s="95"/>
      <c r="C210" s="207"/>
      <c r="D210" s="95"/>
      <c r="E210" s="95"/>
      <c r="F210" s="95"/>
      <c r="G210" s="95"/>
      <c r="H210" s="95"/>
      <c r="I210" s="95"/>
      <c r="J210" s="95"/>
      <c r="K210" s="95"/>
      <c r="L210" s="95"/>
      <c r="M210" s="95"/>
      <c r="N210" s="95"/>
      <c r="O210" s="95"/>
      <c r="P210" s="95"/>
      <c r="Q210" s="95"/>
      <c r="R210" s="95"/>
      <c r="S210" s="95"/>
      <c r="T210" s="95"/>
    </row>
    <row r="211" spans="1:20" x14ac:dyDescent="0.25">
      <c r="A211" s="95"/>
      <c r="B211" s="95"/>
      <c r="C211" s="207"/>
      <c r="D211" s="95"/>
      <c r="E211" s="95"/>
      <c r="F211" s="95"/>
      <c r="G211" s="95"/>
      <c r="H211" s="95"/>
      <c r="I211" s="95"/>
      <c r="J211" s="95"/>
      <c r="K211" s="95"/>
      <c r="L211" s="95"/>
      <c r="M211" s="95"/>
      <c r="N211" s="95"/>
      <c r="O211" s="95"/>
      <c r="P211" s="95"/>
      <c r="Q211" s="95"/>
      <c r="R211" s="95"/>
      <c r="S211" s="95"/>
      <c r="T211" s="95"/>
    </row>
    <row r="212" spans="1:20" x14ac:dyDescent="0.25">
      <c r="A212" s="95"/>
      <c r="B212" s="95"/>
      <c r="C212" s="207"/>
      <c r="D212" s="95"/>
      <c r="E212" s="95"/>
      <c r="F212" s="95"/>
      <c r="G212" s="95"/>
      <c r="H212" s="95"/>
      <c r="I212" s="95"/>
      <c r="J212" s="95"/>
      <c r="K212" s="95"/>
      <c r="L212" s="95"/>
      <c r="M212" s="95"/>
      <c r="N212" s="95"/>
      <c r="O212" s="95"/>
      <c r="P212" s="95"/>
      <c r="Q212" s="95"/>
      <c r="R212" s="95"/>
      <c r="S212" s="95"/>
      <c r="T212" s="95"/>
    </row>
    <row r="213" spans="1:20" x14ac:dyDescent="0.25">
      <c r="A213" s="95"/>
      <c r="B213" s="95"/>
      <c r="C213" s="207"/>
      <c r="D213" s="95"/>
      <c r="E213" s="95"/>
      <c r="F213" s="95"/>
      <c r="G213" s="95"/>
      <c r="H213" s="95"/>
      <c r="I213" s="95"/>
      <c r="J213" s="95"/>
      <c r="K213" s="95"/>
      <c r="L213" s="95"/>
      <c r="M213" s="95"/>
      <c r="N213" s="95"/>
      <c r="O213" s="95"/>
      <c r="P213" s="95"/>
      <c r="Q213" s="95"/>
      <c r="R213" s="95"/>
      <c r="S213" s="95"/>
      <c r="T213" s="95"/>
    </row>
    <row r="214" spans="1:20" x14ac:dyDescent="0.25">
      <c r="A214" s="95"/>
      <c r="B214" s="95"/>
      <c r="C214" s="207"/>
      <c r="D214" s="95"/>
      <c r="E214" s="95"/>
      <c r="F214" s="95"/>
      <c r="G214" s="95"/>
      <c r="H214" s="95"/>
      <c r="I214" s="95"/>
      <c r="J214" s="95"/>
      <c r="K214" s="95"/>
      <c r="L214" s="95"/>
      <c r="M214" s="95"/>
      <c r="N214" s="95"/>
      <c r="O214" s="95"/>
      <c r="P214" s="95"/>
      <c r="Q214" s="95"/>
      <c r="R214" s="95"/>
      <c r="S214" s="95"/>
      <c r="T214" s="95"/>
    </row>
    <row r="215" spans="1:20" x14ac:dyDescent="0.25">
      <c r="A215" s="95"/>
      <c r="B215" s="95"/>
      <c r="C215" s="207"/>
      <c r="D215" s="95"/>
      <c r="E215" s="95"/>
      <c r="F215" s="95"/>
      <c r="G215" s="95"/>
      <c r="H215" s="95"/>
      <c r="I215" s="95"/>
      <c r="J215" s="95"/>
      <c r="K215" s="95"/>
      <c r="L215" s="95"/>
      <c r="M215" s="95"/>
      <c r="N215" s="95"/>
      <c r="O215" s="95"/>
      <c r="P215" s="95"/>
      <c r="Q215" s="95"/>
      <c r="R215" s="95"/>
      <c r="S215" s="95"/>
      <c r="T215" s="95"/>
    </row>
    <row r="216" spans="1:20" x14ac:dyDescent="0.25">
      <c r="A216" s="95"/>
      <c r="B216" s="95"/>
      <c r="C216" s="207"/>
      <c r="D216" s="95"/>
      <c r="E216" s="95"/>
      <c r="F216" s="95"/>
      <c r="G216" s="95"/>
      <c r="H216" s="95"/>
      <c r="I216" s="95"/>
      <c r="J216" s="95"/>
      <c r="K216" s="95"/>
      <c r="L216" s="95"/>
      <c r="M216" s="95"/>
      <c r="N216" s="95"/>
      <c r="O216" s="95"/>
      <c r="P216" s="95"/>
      <c r="Q216" s="95"/>
      <c r="R216" s="95"/>
      <c r="S216" s="95"/>
      <c r="T216" s="95"/>
    </row>
    <row r="217" spans="1:20" x14ac:dyDescent="0.25">
      <c r="A217" s="95"/>
      <c r="B217" s="95"/>
      <c r="C217" s="207"/>
      <c r="D217" s="95"/>
      <c r="E217" s="95"/>
      <c r="F217" s="95"/>
      <c r="G217" s="95"/>
      <c r="H217" s="95"/>
      <c r="I217" s="95"/>
      <c r="J217" s="95"/>
      <c r="K217" s="95"/>
      <c r="L217" s="95"/>
      <c r="M217" s="95"/>
      <c r="N217" s="95"/>
      <c r="O217" s="95"/>
      <c r="P217" s="95"/>
      <c r="Q217" s="95"/>
      <c r="R217" s="95"/>
      <c r="S217" s="95"/>
      <c r="T217" s="95"/>
    </row>
    <row r="218" spans="1:20" x14ac:dyDescent="0.25">
      <c r="A218" s="95"/>
      <c r="B218" s="95"/>
      <c r="C218" s="207"/>
      <c r="D218" s="95"/>
      <c r="E218" s="95"/>
      <c r="F218" s="95"/>
      <c r="G218" s="95"/>
      <c r="H218" s="95"/>
      <c r="I218" s="95"/>
      <c r="J218" s="95"/>
      <c r="K218" s="95"/>
      <c r="L218" s="95"/>
      <c r="M218" s="95"/>
      <c r="N218" s="95"/>
      <c r="O218" s="95"/>
      <c r="P218" s="95"/>
      <c r="Q218" s="95"/>
      <c r="R218" s="95"/>
      <c r="S218" s="95"/>
      <c r="T218" s="95"/>
    </row>
    <row r="219" spans="1:20" x14ac:dyDescent="0.25">
      <c r="A219" s="95"/>
      <c r="B219" s="95"/>
      <c r="C219" s="207"/>
      <c r="D219" s="95"/>
      <c r="E219" s="95"/>
      <c r="F219" s="95"/>
      <c r="G219" s="95"/>
      <c r="H219" s="95"/>
      <c r="I219" s="95"/>
      <c r="J219" s="95"/>
      <c r="K219" s="95"/>
      <c r="L219" s="95"/>
      <c r="M219" s="95"/>
      <c r="N219" s="95"/>
      <c r="O219" s="95"/>
      <c r="P219" s="95"/>
      <c r="Q219" s="95"/>
      <c r="R219" s="95"/>
      <c r="S219" s="95"/>
      <c r="T219" s="95"/>
    </row>
    <row r="220" spans="1:20" x14ac:dyDescent="0.25">
      <c r="A220" s="95"/>
      <c r="B220" s="95"/>
      <c r="C220" s="207"/>
      <c r="D220" s="95"/>
      <c r="E220" s="95"/>
      <c r="F220" s="95"/>
      <c r="G220" s="95"/>
      <c r="H220" s="95"/>
      <c r="I220" s="95"/>
      <c r="J220" s="95"/>
      <c r="K220" s="95"/>
      <c r="L220" s="95"/>
      <c r="M220" s="95"/>
      <c r="N220" s="95"/>
      <c r="O220" s="95"/>
      <c r="P220" s="95"/>
      <c r="Q220" s="95"/>
      <c r="R220" s="95"/>
      <c r="S220" s="95"/>
      <c r="T220" s="95"/>
    </row>
    <row r="221" spans="1:20" x14ac:dyDescent="0.25">
      <c r="A221" s="95"/>
      <c r="B221" s="95"/>
      <c r="C221" s="207"/>
      <c r="D221" s="95"/>
      <c r="E221" s="95"/>
      <c r="F221" s="95"/>
      <c r="G221" s="95"/>
      <c r="H221" s="95"/>
      <c r="I221" s="95"/>
      <c r="J221" s="95"/>
      <c r="K221" s="95"/>
      <c r="L221" s="95"/>
      <c r="M221" s="95"/>
      <c r="N221" s="95"/>
      <c r="O221" s="95"/>
      <c r="P221" s="95"/>
      <c r="Q221" s="95"/>
      <c r="R221" s="95"/>
      <c r="S221" s="95"/>
      <c r="T221" s="95"/>
    </row>
    <row r="222" spans="1:20" x14ac:dyDescent="0.25">
      <c r="A222" s="95"/>
      <c r="B222" s="95"/>
      <c r="C222" s="207"/>
      <c r="D222" s="95"/>
      <c r="E222" s="95"/>
      <c r="F222" s="95"/>
      <c r="G222" s="95"/>
      <c r="H222" s="95"/>
      <c r="I222" s="95"/>
      <c r="J222" s="95"/>
      <c r="K222" s="95"/>
      <c r="L222" s="95"/>
      <c r="M222" s="95"/>
      <c r="N222" s="95"/>
      <c r="O222" s="95"/>
      <c r="P222" s="95"/>
      <c r="Q222" s="95"/>
      <c r="R222" s="95"/>
      <c r="S222" s="95"/>
      <c r="T222" s="95"/>
    </row>
    <row r="223" spans="1:20" x14ac:dyDescent="0.25">
      <c r="A223" s="95"/>
      <c r="B223" s="95"/>
      <c r="C223" s="207"/>
      <c r="D223" s="95"/>
      <c r="E223" s="95"/>
      <c r="F223" s="95"/>
      <c r="G223" s="95"/>
      <c r="H223" s="95"/>
      <c r="I223" s="95"/>
      <c r="J223" s="95"/>
      <c r="K223" s="95"/>
      <c r="L223" s="95"/>
      <c r="M223" s="95"/>
      <c r="N223" s="95"/>
      <c r="O223" s="95"/>
      <c r="P223" s="95"/>
      <c r="Q223" s="95"/>
      <c r="R223" s="95"/>
      <c r="S223" s="95"/>
      <c r="T223" s="95"/>
    </row>
    <row r="224" spans="1:20" x14ac:dyDescent="0.25">
      <c r="A224" s="95"/>
      <c r="B224" s="95"/>
      <c r="C224" s="207"/>
      <c r="D224" s="95"/>
      <c r="E224" s="95"/>
      <c r="F224" s="95"/>
      <c r="G224" s="95"/>
      <c r="H224" s="95"/>
      <c r="I224" s="95"/>
      <c r="J224" s="95"/>
      <c r="K224" s="95"/>
      <c r="L224" s="95"/>
      <c r="M224" s="95"/>
      <c r="N224" s="95"/>
      <c r="O224" s="95"/>
      <c r="P224" s="95"/>
      <c r="Q224" s="95"/>
      <c r="R224" s="95"/>
      <c r="S224" s="95"/>
      <c r="T224" s="95"/>
    </row>
    <row r="225" spans="1:20" x14ac:dyDescent="0.25">
      <c r="A225" s="95"/>
      <c r="B225" s="95"/>
      <c r="C225" s="207"/>
      <c r="D225" s="95"/>
      <c r="E225" s="95"/>
      <c r="F225" s="95"/>
      <c r="G225" s="95"/>
      <c r="H225" s="95"/>
      <c r="I225" s="95"/>
      <c r="J225" s="95"/>
      <c r="K225" s="95"/>
      <c r="L225" s="95"/>
      <c r="M225" s="95"/>
      <c r="N225" s="95"/>
      <c r="O225" s="95"/>
      <c r="P225" s="95"/>
      <c r="Q225" s="95"/>
      <c r="R225" s="95"/>
      <c r="S225" s="95"/>
      <c r="T225" s="95"/>
    </row>
    <row r="226" spans="1:20" x14ac:dyDescent="0.25">
      <c r="A226" s="95"/>
      <c r="B226" s="95"/>
      <c r="C226" s="207"/>
      <c r="D226" s="95"/>
      <c r="E226" s="95"/>
      <c r="F226" s="95"/>
      <c r="G226" s="95"/>
      <c r="H226" s="95"/>
      <c r="I226" s="95"/>
      <c r="J226" s="95"/>
      <c r="K226" s="95"/>
      <c r="L226" s="95"/>
      <c r="M226" s="95"/>
      <c r="N226" s="95"/>
      <c r="O226" s="95"/>
      <c r="P226" s="95"/>
      <c r="Q226" s="95"/>
      <c r="R226" s="95"/>
      <c r="S226" s="95"/>
      <c r="T226" s="95"/>
    </row>
    <row r="227" spans="1:20" x14ac:dyDescent="0.25">
      <c r="A227" s="95"/>
      <c r="B227" s="95"/>
      <c r="C227" s="207"/>
      <c r="D227" s="95"/>
      <c r="E227" s="95"/>
      <c r="F227" s="95"/>
      <c r="G227" s="95"/>
      <c r="H227" s="95"/>
      <c r="I227" s="95"/>
      <c r="J227" s="95"/>
      <c r="K227" s="95"/>
      <c r="L227" s="95"/>
      <c r="M227" s="95"/>
      <c r="N227" s="95"/>
      <c r="O227" s="95"/>
      <c r="P227" s="95"/>
      <c r="Q227" s="95"/>
      <c r="R227" s="95"/>
      <c r="S227" s="95"/>
      <c r="T227" s="95"/>
    </row>
    <row r="228" spans="1:20" x14ac:dyDescent="0.25">
      <c r="A228" s="95"/>
      <c r="B228" s="95"/>
      <c r="C228" s="207"/>
      <c r="D228" s="95"/>
      <c r="E228" s="95"/>
      <c r="F228" s="95"/>
      <c r="G228" s="95"/>
      <c r="H228" s="95"/>
      <c r="I228" s="95"/>
      <c r="J228" s="95"/>
      <c r="K228" s="95"/>
      <c r="L228" s="95"/>
      <c r="M228" s="95"/>
      <c r="N228" s="95"/>
      <c r="O228" s="95"/>
      <c r="P228" s="95"/>
      <c r="Q228" s="95"/>
      <c r="R228" s="95"/>
      <c r="S228" s="95"/>
      <c r="T228" s="95"/>
    </row>
    <row r="229" spans="1:20" x14ac:dyDescent="0.25">
      <c r="A229" s="95"/>
      <c r="B229" s="95"/>
      <c r="C229" s="207"/>
      <c r="D229" s="95"/>
      <c r="E229" s="95"/>
      <c r="F229" s="95"/>
      <c r="G229" s="95"/>
      <c r="H229" s="95"/>
      <c r="I229" s="95"/>
      <c r="J229" s="95"/>
      <c r="K229" s="95"/>
      <c r="L229" s="95"/>
      <c r="M229" s="95"/>
      <c r="N229" s="95"/>
      <c r="O229" s="95"/>
      <c r="P229" s="95"/>
      <c r="Q229" s="95"/>
      <c r="R229" s="95"/>
      <c r="S229" s="95"/>
      <c r="T229" s="95"/>
    </row>
    <row r="230" spans="1:20" x14ac:dyDescent="0.25">
      <c r="A230" s="95"/>
      <c r="B230" s="95"/>
      <c r="C230" s="207"/>
      <c r="D230" s="95"/>
      <c r="E230" s="95"/>
      <c r="F230" s="95"/>
      <c r="G230" s="95"/>
      <c r="H230" s="95"/>
      <c r="I230" s="95"/>
      <c r="J230" s="95"/>
      <c r="K230" s="95"/>
      <c r="L230" s="95"/>
      <c r="M230" s="95"/>
      <c r="N230" s="95"/>
      <c r="O230" s="95"/>
      <c r="P230" s="95"/>
      <c r="Q230" s="95"/>
      <c r="R230" s="95"/>
      <c r="S230" s="95"/>
      <c r="T230" s="95"/>
    </row>
    <row r="231" spans="1:20" x14ac:dyDescent="0.25">
      <c r="A231" s="95"/>
      <c r="B231" s="95"/>
      <c r="C231" s="207"/>
      <c r="D231" s="95"/>
      <c r="E231" s="95"/>
      <c r="F231" s="95"/>
      <c r="G231" s="95"/>
      <c r="H231" s="95"/>
      <c r="I231" s="95"/>
      <c r="J231" s="95"/>
      <c r="K231" s="95"/>
      <c r="L231" s="95"/>
      <c r="M231" s="95"/>
      <c r="N231" s="95"/>
      <c r="O231" s="95"/>
      <c r="P231" s="95"/>
      <c r="Q231" s="95"/>
      <c r="R231" s="95"/>
      <c r="S231" s="95"/>
      <c r="T231" s="95"/>
    </row>
    <row r="232" spans="1:20" x14ac:dyDescent="0.25">
      <c r="A232" s="95"/>
      <c r="B232" s="95"/>
      <c r="C232" s="207"/>
      <c r="D232" s="95"/>
      <c r="E232" s="95"/>
      <c r="F232" s="95"/>
      <c r="G232" s="95"/>
      <c r="H232" s="95"/>
      <c r="I232" s="95"/>
      <c r="J232" s="95"/>
      <c r="K232" s="95"/>
      <c r="L232" s="95"/>
      <c r="M232" s="95"/>
      <c r="N232" s="95"/>
      <c r="O232" s="95"/>
      <c r="P232" s="95"/>
      <c r="Q232" s="95"/>
      <c r="R232" s="95"/>
      <c r="S232" s="95"/>
      <c r="T232" s="95"/>
    </row>
    <row r="233" spans="1:20" x14ac:dyDescent="0.25">
      <c r="A233" s="95"/>
      <c r="B233" s="95"/>
      <c r="C233" s="207"/>
      <c r="D233" s="95"/>
      <c r="E233" s="95"/>
      <c r="F233" s="95"/>
      <c r="G233" s="95"/>
      <c r="H233" s="95"/>
      <c r="I233" s="95"/>
      <c r="J233" s="95"/>
      <c r="K233" s="95"/>
      <c r="L233" s="95"/>
      <c r="M233" s="95"/>
      <c r="N233" s="95"/>
      <c r="O233" s="95"/>
      <c r="P233" s="95"/>
      <c r="Q233" s="95"/>
      <c r="R233" s="95"/>
      <c r="S233" s="95"/>
      <c r="T233" s="95"/>
    </row>
    <row r="234" spans="1:20" x14ac:dyDescent="0.25">
      <c r="A234" s="95"/>
      <c r="B234" s="95"/>
      <c r="C234" s="207"/>
      <c r="D234" s="95"/>
      <c r="E234" s="95"/>
      <c r="F234" s="95"/>
      <c r="G234" s="95"/>
      <c r="H234" s="95"/>
      <c r="I234" s="95"/>
      <c r="J234" s="95"/>
      <c r="K234" s="95"/>
      <c r="L234" s="95"/>
      <c r="M234" s="95"/>
      <c r="N234" s="95"/>
      <c r="O234" s="95"/>
      <c r="P234" s="95"/>
      <c r="Q234" s="95"/>
      <c r="R234" s="95"/>
      <c r="S234" s="95"/>
      <c r="T234" s="95"/>
    </row>
    <row r="235" spans="1:20" x14ac:dyDescent="0.25">
      <c r="A235" s="95"/>
      <c r="B235" s="95"/>
      <c r="C235" s="207"/>
      <c r="D235" s="95"/>
      <c r="E235" s="95"/>
      <c r="F235" s="95"/>
      <c r="G235" s="95"/>
      <c r="H235" s="95"/>
      <c r="I235" s="95"/>
      <c r="J235" s="95"/>
      <c r="K235" s="95"/>
      <c r="L235" s="95"/>
      <c r="M235" s="95"/>
      <c r="N235" s="95"/>
      <c r="O235" s="95"/>
      <c r="P235" s="95"/>
      <c r="Q235" s="95"/>
      <c r="R235" s="95"/>
      <c r="S235" s="95"/>
      <c r="T235" s="95"/>
    </row>
    <row r="236" spans="1:20" x14ac:dyDescent="0.25">
      <c r="A236" s="95"/>
      <c r="B236" s="95"/>
      <c r="C236" s="207"/>
      <c r="D236" s="95"/>
      <c r="E236" s="95"/>
      <c r="F236" s="95"/>
      <c r="G236" s="95"/>
      <c r="H236" s="95"/>
      <c r="I236" s="95"/>
      <c r="J236" s="95"/>
      <c r="K236" s="95"/>
      <c r="L236" s="95"/>
      <c r="M236" s="95"/>
      <c r="N236" s="95"/>
      <c r="O236" s="95"/>
      <c r="P236" s="95"/>
      <c r="Q236" s="95"/>
      <c r="R236" s="95"/>
      <c r="S236" s="95"/>
      <c r="T236" s="95"/>
    </row>
    <row r="237" spans="1:20" x14ac:dyDescent="0.25">
      <c r="A237" s="95"/>
      <c r="B237" s="95"/>
      <c r="C237" s="207"/>
      <c r="D237" s="95"/>
      <c r="E237" s="95"/>
      <c r="F237" s="95"/>
      <c r="G237" s="95"/>
      <c r="H237" s="95"/>
      <c r="I237" s="95"/>
      <c r="J237" s="95"/>
      <c r="K237" s="95"/>
      <c r="L237" s="95"/>
      <c r="M237" s="95"/>
      <c r="N237" s="95"/>
      <c r="O237" s="95"/>
      <c r="P237" s="95"/>
      <c r="Q237" s="95"/>
      <c r="R237" s="95"/>
      <c r="S237" s="95"/>
      <c r="T237" s="95"/>
    </row>
    <row r="238" spans="1:20" x14ac:dyDescent="0.25">
      <c r="A238" s="95"/>
      <c r="B238" s="95"/>
      <c r="C238" s="207"/>
      <c r="D238" s="95"/>
      <c r="E238" s="95"/>
      <c r="F238" s="95"/>
      <c r="G238" s="95"/>
      <c r="H238" s="95"/>
      <c r="I238" s="95"/>
      <c r="J238" s="95"/>
      <c r="K238" s="95"/>
      <c r="L238" s="95"/>
      <c r="M238" s="95"/>
      <c r="N238" s="95"/>
      <c r="O238" s="95"/>
      <c r="P238" s="95"/>
      <c r="Q238" s="95"/>
      <c r="R238" s="95"/>
      <c r="S238" s="95"/>
      <c r="T238" s="95"/>
    </row>
    <row r="239" spans="1:20" x14ac:dyDescent="0.25">
      <c r="A239" s="95"/>
      <c r="B239" s="95"/>
      <c r="C239" s="207"/>
      <c r="D239" s="95"/>
      <c r="E239" s="95"/>
      <c r="F239" s="95"/>
      <c r="G239" s="95"/>
      <c r="H239" s="95"/>
      <c r="I239" s="95"/>
      <c r="J239" s="95"/>
      <c r="K239" s="95"/>
      <c r="L239" s="95"/>
      <c r="M239" s="95"/>
      <c r="N239" s="95"/>
      <c r="O239" s="95"/>
      <c r="P239" s="95"/>
      <c r="Q239" s="95"/>
      <c r="R239" s="95"/>
      <c r="S239" s="95"/>
      <c r="T239" s="95"/>
    </row>
    <row r="240" spans="1:20" x14ac:dyDescent="0.25">
      <c r="A240" s="95"/>
      <c r="B240" s="95"/>
      <c r="C240" s="207"/>
      <c r="D240" s="95"/>
      <c r="E240" s="95"/>
      <c r="F240" s="95"/>
      <c r="G240" s="95"/>
      <c r="H240" s="95"/>
      <c r="I240" s="95"/>
      <c r="J240" s="95"/>
      <c r="K240" s="95"/>
      <c r="L240" s="95"/>
      <c r="M240" s="95"/>
      <c r="N240" s="95"/>
      <c r="O240" s="95"/>
      <c r="P240" s="95"/>
      <c r="Q240" s="95"/>
      <c r="R240" s="95"/>
      <c r="S240" s="95"/>
      <c r="T240" s="95"/>
    </row>
    <row r="241" spans="1:20" x14ac:dyDescent="0.25">
      <c r="A241" s="95"/>
      <c r="B241" s="95"/>
      <c r="C241" s="207"/>
      <c r="D241" s="95"/>
      <c r="E241" s="95"/>
      <c r="F241" s="95"/>
      <c r="G241" s="95"/>
      <c r="H241" s="95"/>
      <c r="I241" s="95"/>
      <c r="J241" s="95"/>
      <c r="K241" s="95"/>
      <c r="L241" s="95"/>
      <c r="M241" s="95"/>
      <c r="N241" s="95"/>
      <c r="O241" s="95"/>
      <c r="P241" s="95"/>
      <c r="Q241" s="95"/>
      <c r="R241" s="95"/>
      <c r="S241" s="95"/>
      <c r="T241" s="95"/>
    </row>
    <row r="242" spans="1:20" x14ac:dyDescent="0.25">
      <c r="A242" s="95"/>
      <c r="B242" s="95"/>
      <c r="C242" s="207"/>
      <c r="D242" s="95"/>
      <c r="E242" s="95"/>
      <c r="F242" s="95"/>
      <c r="G242" s="95"/>
      <c r="H242" s="95"/>
      <c r="I242" s="95"/>
      <c r="J242" s="95"/>
      <c r="K242" s="95"/>
      <c r="L242" s="95"/>
      <c r="M242" s="95"/>
      <c r="N242" s="95"/>
      <c r="O242" s="95"/>
      <c r="P242" s="95"/>
      <c r="Q242" s="95"/>
      <c r="R242" s="95"/>
      <c r="S242" s="95"/>
      <c r="T242" s="95"/>
    </row>
    <row r="243" spans="1:20" x14ac:dyDescent="0.25">
      <c r="A243" s="95"/>
      <c r="B243" s="95"/>
      <c r="C243" s="207"/>
      <c r="D243" s="95"/>
      <c r="E243" s="95"/>
      <c r="F243" s="95"/>
      <c r="G243" s="95"/>
      <c r="H243" s="95"/>
      <c r="I243" s="95"/>
      <c r="J243" s="95"/>
      <c r="K243" s="95"/>
      <c r="L243" s="95"/>
      <c r="M243" s="95"/>
      <c r="N243" s="95"/>
      <c r="O243" s="95"/>
      <c r="P243" s="95"/>
      <c r="Q243" s="95"/>
      <c r="R243" s="95"/>
      <c r="S243" s="95"/>
      <c r="T243" s="95"/>
    </row>
    <row r="244" spans="1:20" x14ac:dyDescent="0.25">
      <c r="A244" s="95"/>
      <c r="B244" s="95"/>
      <c r="C244" s="207"/>
      <c r="D244" s="95"/>
      <c r="E244" s="95"/>
      <c r="F244" s="95"/>
      <c r="G244" s="95"/>
      <c r="H244" s="95"/>
      <c r="I244" s="95"/>
      <c r="J244" s="95"/>
      <c r="K244" s="95"/>
      <c r="L244" s="95"/>
      <c r="M244" s="95"/>
      <c r="N244" s="95"/>
      <c r="O244" s="95"/>
      <c r="P244" s="95"/>
      <c r="Q244" s="95"/>
      <c r="R244" s="95"/>
      <c r="S244" s="95"/>
      <c r="T244" s="95"/>
    </row>
    <row r="245" spans="1:20" x14ac:dyDescent="0.25">
      <c r="A245" s="95"/>
      <c r="B245" s="95"/>
      <c r="C245" s="207"/>
      <c r="D245" s="95"/>
      <c r="E245" s="95"/>
      <c r="F245" s="95"/>
      <c r="G245" s="95"/>
      <c r="H245" s="95"/>
      <c r="I245" s="95"/>
      <c r="J245" s="95"/>
      <c r="K245" s="95"/>
      <c r="L245" s="95"/>
      <c r="M245" s="95"/>
      <c r="N245" s="95"/>
      <c r="O245" s="95"/>
      <c r="P245" s="95"/>
      <c r="Q245" s="95"/>
      <c r="R245" s="95"/>
      <c r="S245" s="95"/>
      <c r="T245" s="95"/>
    </row>
    <row r="246" spans="1:20" x14ac:dyDescent="0.25">
      <c r="A246" s="95"/>
      <c r="B246" s="95"/>
      <c r="C246" s="207"/>
      <c r="D246" s="95"/>
      <c r="E246" s="95"/>
      <c r="F246" s="95"/>
      <c r="G246" s="95"/>
      <c r="H246" s="95"/>
      <c r="I246" s="95"/>
      <c r="J246" s="95"/>
      <c r="K246" s="95"/>
      <c r="L246" s="95"/>
      <c r="M246" s="95"/>
      <c r="N246" s="95"/>
      <c r="O246" s="95"/>
      <c r="P246" s="95"/>
      <c r="Q246" s="95"/>
      <c r="R246" s="95"/>
      <c r="S246" s="95"/>
      <c r="T246" s="95"/>
    </row>
    <row r="247" spans="1:20" x14ac:dyDescent="0.25">
      <c r="A247" s="95"/>
      <c r="B247" s="95"/>
      <c r="C247" s="207"/>
      <c r="D247" s="95"/>
      <c r="E247" s="95"/>
      <c r="F247" s="95"/>
      <c r="G247" s="95"/>
      <c r="H247" s="95"/>
      <c r="I247" s="95"/>
      <c r="J247" s="95"/>
      <c r="K247" s="95"/>
      <c r="L247" s="95"/>
      <c r="M247" s="95"/>
      <c r="N247" s="95"/>
      <c r="O247" s="95"/>
      <c r="P247" s="95"/>
      <c r="Q247" s="95"/>
      <c r="R247" s="95"/>
      <c r="S247" s="95"/>
      <c r="T247" s="95"/>
    </row>
    <row r="248" spans="1:20" x14ac:dyDescent="0.25">
      <c r="A248" s="95"/>
      <c r="B248" s="95"/>
      <c r="C248" s="207"/>
      <c r="D248" s="95"/>
      <c r="E248" s="95"/>
      <c r="F248" s="95"/>
      <c r="G248" s="95"/>
      <c r="H248" s="95"/>
      <c r="I248" s="95"/>
      <c r="J248" s="95"/>
      <c r="K248" s="95"/>
      <c r="L248" s="95"/>
      <c r="M248" s="95"/>
      <c r="N248" s="95"/>
      <c r="O248" s="95"/>
      <c r="P248" s="95"/>
      <c r="Q248" s="95"/>
      <c r="R248" s="95"/>
      <c r="S248" s="95"/>
      <c r="T248" s="95"/>
    </row>
    <row r="249" spans="1:20" x14ac:dyDescent="0.25">
      <c r="A249" s="95"/>
      <c r="B249" s="95"/>
      <c r="C249" s="207"/>
      <c r="D249" s="95"/>
      <c r="E249" s="95"/>
      <c r="F249" s="95"/>
      <c r="G249" s="95"/>
      <c r="H249" s="95"/>
      <c r="I249" s="95"/>
      <c r="J249" s="95"/>
      <c r="K249" s="95"/>
      <c r="L249" s="95"/>
      <c r="M249" s="95"/>
      <c r="N249" s="95"/>
      <c r="O249" s="95"/>
      <c r="P249" s="95"/>
      <c r="Q249" s="95"/>
      <c r="R249" s="95"/>
      <c r="S249" s="95"/>
      <c r="T249" s="95"/>
    </row>
    <row r="250" spans="1:20" x14ac:dyDescent="0.25">
      <c r="A250" s="95"/>
      <c r="B250" s="95"/>
      <c r="C250" s="207"/>
      <c r="D250" s="95"/>
      <c r="E250" s="95"/>
      <c r="F250" s="95"/>
      <c r="G250" s="95"/>
      <c r="H250" s="95"/>
      <c r="I250" s="95"/>
      <c r="J250" s="95"/>
      <c r="K250" s="95"/>
      <c r="L250" s="95"/>
      <c r="M250" s="95"/>
      <c r="N250" s="95"/>
      <c r="O250" s="95"/>
      <c r="P250" s="95"/>
      <c r="Q250" s="95"/>
      <c r="R250" s="95"/>
      <c r="S250" s="95"/>
      <c r="T250" s="95"/>
    </row>
    <row r="251" spans="1:20" x14ac:dyDescent="0.25">
      <c r="A251" s="95"/>
      <c r="B251" s="95"/>
      <c r="C251" s="207"/>
      <c r="D251" s="95"/>
      <c r="E251" s="95"/>
      <c r="F251" s="95"/>
      <c r="G251" s="95"/>
      <c r="H251" s="95"/>
      <c r="I251" s="95"/>
      <c r="J251" s="95"/>
      <c r="K251" s="95"/>
      <c r="L251" s="95"/>
      <c r="M251" s="95"/>
      <c r="N251" s="95"/>
      <c r="O251" s="95"/>
      <c r="P251" s="95"/>
      <c r="Q251" s="95"/>
      <c r="R251" s="95"/>
      <c r="S251" s="95"/>
      <c r="T251" s="95"/>
    </row>
    <row r="252" spans="1:20" x14ac:dyDescent="0.25">
      <c r="A252" s="95"/>
      <c r="B252" s="95"/>
      <c r="C252" s="207"/>
      <c r="D252" s="95"/>
      <c r="E252" s="95"/>
      <c r="F252" s="95"/>
      <c r="G252" s="95"/>
      <c r="H252" s="95"/>
      <c r="I252" s="95"/>
      <c r="J252" s="95"/>
      <c r="K252" s="95"/>
      <c r="L252" s="95"/>
      <c r="M252" s="95"/>
      <c r="N252" s="95"/>
      <c r="O252" s="95"/>
      <c r="P252" s="95"/>
      <c r="Q252" s="95"/>
      <c r="R252" s="95"/>
      <c r="S252" s="95"/>
      <c r="T252" s="95"/>
    </row>
    <row r="253" spans="1:20" x14ac:dyDescent="0.25">
      <c r="A253" s="95"/>
      <c r="B253" s="95"/>
      <c r="C253" s="207"/>
      <c r="D253" s="95"/>
      <c r="E253" s="95"/>
      <c r="F253" s="95"/>
      <c r="G253" s="95"/>
      <c r="H253" s="95"/>
      <c r="I253" s="95"/>
      <c r="J253" s="95"/>
      <c r="K253" s="95"/>
      <c r="L253" s="95"/>
      <c r="M253" s="95"/>
      <c r="N253" s="95"/>
      <c r="O253" s="95"/>
      <c r="P253" s="95"/>
      <c r="Q253" s="95"/>
      <c r="R253" s="95"/>
      <c r="S253" s="95"/>
      <c r="T253" s="95"/>
    </row>
    <row r="254" spans="1:20" x14ac:dyDescent="0.25">
      <c r="A254" s="95"/>
      <c r="B254" s="95"/>
      <c r="C254" s="207"/>
      <c r="D254" s="95"/>
      <c r="E254" s="95"/>
      <c r="F254" s="95"/>
      <c r="G254" s="95"/>
      <c r="H254" s="95"/>
      <c r="I254" s="95"/>
      <c r="J254" s="95"/>
      <c r="K254" s="95"/>
      <c r="L254" s="95"/>
      <c r="M254" s="95"/>
      <c r="N254" s="95"/>
      <c r="O254" s="95"/>
      <c r="P254" s="95"/>
      <c r="Q254" s="95"/>
      <c r="R254" s="95"/>
      <c r="S254" s="95"/>
      <c r="T254" s="95"/>
    </row>
    <row r="255" spans="1:20" x14ac:dyDescent="0.25">
      <c r="A255" s="95"/>
      <c r="B255" s="95"/>
      <c r="C255" s="207"/>
      <c r="D255" s="95"/>
      <c r="E255" s="95"/>
      <c r="F255" s="95"/>
      <c r="G255" s="95"/>
      <c r="H255" s="95"/>
      <c r="I255" s="95"/>
      <c r="J255" s="95"/>
      <c r="K255" s="95"/>
      <c r="L255" s="95"/>
      <c r="M255" s="95"/>
      <c r="N255" s="95"/>
      <c r="O255" s="95"/>
      <c r="P255" s="95"/>
      <c r="Q255" s="95"/>
      <c r="R255" s="95"/>
      <c r="S255" s="95"/>
      <c r="T255" s="95"/>
    </row>
    <row r="256" spans="1:20" x14ac:dyDescent="0.25">
      <c r="A256" s="95"/>
      <c r="B256" s="95"/>
      <c r="C256" s="207"/>
      <c r="D256" s="95"/>
      <c r="E256" s="95"/>
      <c r="F256" s="95"/>
      <c r="G256" s="95"/>
      <c r="H256" s="95"/>
      <c r="I256" s="95"/>
      <c r="J256" s="95"/>
      <c r="K256" s="95"/>
      <c r="L256" s="95"/>
      <c r="M256" s="95"/>
      <c r="N256" s="95"/>
      <c r="O256" s="95"/>
      <c r="P256" s="95"/>
      <c r="Q256" s="95"/>
      <c r="R256" s="95"/>
      <c r="S256" s="95"/>
      <c r="T256" s="95"/>
    </row>
    <row r="257" spans="1:20" x14ac:dyDescent="0.25">
      <c r="A257" s="95"/>
      <c r="B257" s="95"/>
      <c r="C257" s="207"/>
      <c r="D257" s="95"/>
      <c r="E257" s="95"/>
      <c r="F257" s="95"/>
      <c r="G257" s="95"/>
      <c r="H257" s="95"/>
      <c r="I257" s="95"/>
      <c r="J257" s="95"/>
      <c r="K257" s="95"/>
      <c r="L257" s="95"/>
      <c r="M257" s="95"/>
      <c r="N257" s="95"/>
      <c r="O257" s="95"/>
      <c r="P257" s="95"/>
      <c r="Q257" s="95"/>
      <c r="R257" s="95"/>
      <c r="S257" s="95"/>
      <c r="T257" s="95"/>
    </row>
    <row r="258" spans="1:20" x14ac:dyDescent="0.25">
      <c r="A258" s="95"/>
      <c r="B258" s="95"/>
      <c r="C258" s="207"/>
      <c r="D258" s="95"/>
      <c r="E258" s="95"/>
      <c r="F258" s="95"/>
      <c r="G258" s="95"/>
      <c r="H258" s="95"/>
      <c r="I258" s="95"/>
      <c r="J258" s="95"/>
      <c r="K258" s="95"/>
      <c r="L258" s="95"/>
      <c r="M258" s="95"/>
      <c r="N258" s="95"/>
      <c r="O258" s="95"/>
      <c r="P258" s="95"/>
      <c r="Q258" s="95"/>
      <c r="R258" s="95"/>
      <c r="S258" s="95"/>
      <c r="T258" s="95"/>
    </row>
    <row r="259" spans="1:20" x14ac:dyDescent="0.25">
      <c r="A259" s="95"/>
      <c r="B259" s="95"/>
      <c r="C259" s="207"/>
      <c r="D259" s="95"/>
      <c r="E259" s="95"/>
      <c r="F259" s="95"/>
      <c r="G259" s="95"/>
      <c r="H259" s="95"/>
      <c r="I259" s="95"/>
      <c r="J259" s="95"/>
      <c r="K259" s="95"/>
      <c r="L259" s="95"/>
      <c r="M259" s="95"/>
      <c r="N259" s="95"/>
      <c r="O259" s="95"/>
      <c r="P259" s="95"/>
      <c r="Q259" s="95"/>
      <c r="R259" s="95"/>
      <c r="S259" s="95"/>
      <c r="T259" s="95"/>
    </row>
    <row r="260" spans="1:20" x14ac:dyDescent="0.25">
      <c r="A260" s="95"/>
      <c r="B260" s="95"/>
      <c r="C260" s="207"/>
      <c r="D260" s="95"/>
      <c r="E260" s="95"/>
      <c r="F260" s="95"/>
      <c r="G260" s="95"/>
      <c r="H260" s="95"/>
      <c r="I260" s="95"/>
      <c r="J260" s="95"/>
      <c r="K260" s="95"/>
      <c r="L260" s="95"/>
      <c r="M260" s="95"/>
      <c r="N260" s="95"/>
      <c r="O260" s="95"/>
      <c r="P260" s="95"/>
      <c r="Q260" s="95"/>
      <c r="R260" s="95"/>
      <c r="S260" s="95"/>
      <c r="T260" s="95"/>
    </row>
    <row r="261" spans="1:20" x14ac:dyDescent="0.25">
      <c r="A261" s="95"/>
      <c r="B261" s="95"/>
      <c r="C261" s="207"/>
      <c r="D261" s="95"/>
      <c r="E261" s="95"/>
      <c r="F261" s="95"/>
      <c r="G261" s="95"/>
      <c r="H261" s="95"/>
      <c r="I261" s="95"/>
      <c r="J261" s="95"/>
      <c r="K261" s="95"/>
      <c r="L261" s="95"/>
      <c r="M261" s="95"/>
      <c r="N261" s="95"/>
      <c r="O261" s="95"/>
      <c r="P261" s="95"/>
      <c r="Q261" s="95"/>
      <c r="R261" s="95"/>
      <c r="S261" s="95"/>
      <c r="T261" s="95"/>
    </row>
    <row r="262" spans="1:20" x14ac:dyDescent="0.25">
      <c r="A262" s="95"/>
      <c r="B262" s="95"/>
      <c r="C262" s="207"/>
      <c r="D262" s="95"/>
      <c r="E262" s="95"/>
      <c r="F262" s="95"/>
      <c r="G262" s="95"/>
      <c r="H262" s="95"/>
      <c r="I262" s="95"/>
      <c r="J262" s="95"/>
      <c r="K262" s="95"/>
      <c r="L262" s="95"/>
      <c r="M262" s="95"/>
      <c r="N262" s="95"/>
      <c r="O262" s="95"/>
      <c r="P262" s="95"/>
      <c r="Q262" s="95"/>
      <c r="R262" s="95"/>
      <c r="S262" s="95"/>
      <c r="T262" s="95"/>
    </row>
    <row r="263" spans="1:20" x14ac:dyDescent="0.25">
      <c r="A263" s="95"/>
      <c r="B263" s="95"/>
      <c r="C263" s="207"/>
      <c r="D263" s="95"/>
      <c r="E263" s="95"/>
      <c r="F263" s="95"/>
      <c r="G263" s="95"/>
      <c r="H263" s="95"/>
      <c r="I263" s="95"/>
      <c r="J263" s="95"/>
      <c r="K263" s="95"/>
      <c r="L263" s="95"/>
      <c r="M263" s="95"/>
      <c r="N263" s="95"/>
      <c r="O263" s="95"/>
      <c r="P263" s="95"/>
      <c r="Q263" s="95"/>
      <c r="R263" s="95"/>
      <c r="S263" s="95"/>
      <c r="T263" s="95"/>
    </row>
    <row r="264" spans="1:20" x14ac:dyDescent="0.25">
      <c r="A264" s="95"/>
      <c r="B264" s="95"/>
      <c r="C264" s="207"/>
      <c r="D264" s="95"/>
      <c r="E264" s="95"/>
      <c r="F264" s="95"/>
      <c r="G264" s="95"/>
      <c r="H264" s="95"/>
      <c r="I264" s="95"/>
      <c r="J264" s="95"/>
      <c r="K264" s="95"/>
      <c r="L264" s="95"/>
      <c r="M264" s="95"/>
      <c r="N264" s="95"/>
      <c r="O264" s="95"/>
      <c r="P264" s="95"/>
      <c r="Q264" s="95"/>
      <c r="R264" s="95"/>
      <c r="S264" s="95"/>
      <c r="T264" s="95"/>
    </row>
    <row r="265" spans="1:20" x14ac:dyDescent="0.25">
      <c r="A265" s="95"/>
      <c r="B265" s="95"/>
      <c r="C265" s="207"/>
      <c r="D265" s="95"/>
      <c r="E265" s="95"/>
      <c r="F265" s="95"/>
      <c r="G265" s="95"/>
      <c r="H265" s="95"/>
      <c r="I265" s="95"/>
      <c r="J265" s="95"/>
      <c r="K265" s="95"/>
      <c r="L265" s="95"/>
      <c r="M265" s="95"/>
      <c r="N265" s="95"/>
      <c r="O265" s="95"/>
      <c r="P265" s="95"/>
      <c r="Q265" s="95"/>
      <c r="R265" s="95"/>
      <c r="S265" s="95"/>
      <c r="T265" s="95"/>
    </row>
    <row r="266" spans="1:20" x14ac:dyDescent="0.25">
      <c r="A266" s="95"/>
      <c r="B266" s="95"/>
      <c r="C266" s="207"/>
      <c r="D266" s="95"/>
      <c r="E266" s="95"/>
      <c r="F266" s="95"/>
      <c r="G266" s="95"/>
      <c r="H266" s="95"/>
      <c r="I266" s="95"/>
      <c r="J266" s="95"/>
      <c r="K266" s="95"/>
      <c r="L266" s="95"/>
      <c r="M266" s="95"/>
      <c r="N266" s="95"/>
      <c r="O266" s="95"/>
      <c r="P266" s="95"/>
      <c r="Q266" s="95"/>
      <c r="R266" s="95"/>
      <c r="S266" s="95"/>
      <c r="T266" s="95"/>
    </row>
    <row r="267" spans="1:20" x14ac:dyDescent="0.25">
      <c r="A267" s="95"/>
      <c r="B267" s="95"/>
      <c r="C267" s="207"/>
      <c r="D267" s="95"/>
      <c r="E267" s="95"/>
      <c r="F267" s="95"/>
      <c r="G267" s="95"/>
      <c r="H267" s="95"/>
      <c r="I267" s="95"/>
      <c r="J267" s="95"/>
      <c r="K267" s="95"/>
      <c r="L267" s="95"/>
      <c r="M267" s="95"/>
      <c r="N267" s="95"/>
      <c r="O267" s="95"/>
      <c r="P267" s="95"/>
      <c r="Q267" s="95"/>
      <c r="R267" s="95"/>
      <c r="S267" s="95"/>
      <c r="T267" s="95"/>
    </row>
    <row r="268" spans="1:20" x14ac:dyDescent="0.25">
      <c r="A268" s="95"/>
      <c r="B268" s="95"/>
      <c r="C268" s="207"/>
      <c r="D268" s="95"/>
      <c r="E268" s="95"/>
      <c r="F268" s="95"/>
      <c r="G268" s="95"/>
      <c r="H268" s="95"/>
      <c r="I268" s="95"/>
      <c r="J268" s="95"/>
      <c r="K268" s="95"/>
      <c r="L268" s="95"/>
      <c r="M268" s="95"/>
      <c r="N268" s="95"/>
      <c r="O268" s="95"/>
      <c r="P268" s="95"/>
      <c r="Q268" s="95"/>
      <c r="R268" s="95"/>
      <c r="S268" s="95"/>
      <c r="T268" s="95"/>
    </row>
    <row r="269" spans="1:20" x14ac:dyDescent="0.25">
      <c r="A269" s="95"/>
      <c r="B269" s="95"/>
      <c r="C269" s="207"/>
      <c r="D269" s="95"/>
      <c r="E269" s="95"/>
      <c r="F269" s="95"/>
      <c r="G269" s="95"/>
      <c r="H269" s="95"/>
      <c r="I269" s="95"/>
      <c r="J269" s="95"/>
      <c r="K269" s="95"/>
      <c r="L269" s="95"/>
      <c r="M269" s="95"/>
      <c r="N269" s="95"/>
      <c r="O269" s="95"/>
      <c r="P269" s="95"/>
      <c r="Q269" s="95"/>
      <c r="R269" s="95"/>
      <c r="S269" s="95"/>
      <c r="T269" s="95"/>
    </row>
    <row r="270" spans="1:20" x14ac:dyDescent="0.25">
      <c r="A270" s="95"/>
      <c r="B270" s="95"/>
      <c r="C270" s="207"/>
      <c r="D270" s="95"/>
      <c r="E270" s="95"/>
      <c r="F270" s="95"/>
      <c r="G270" s="95"/>
      <c r="H270" s="95"/>
      <c r="I270" s="95"/>
      <c r="J270" s="95"/>
      <c r="K270" s="95"/>
      <c r="L270" s="95"/>
      <c r="M270" s="95"/>
      <c r="N270" s="95"/>
      <c r="O270" s="95"/>
      <c r="P270" s="95"/>
      <c r="Q270" s="95"/>
      <c r="R270" s="95"/>
      <c r="S270" s="95"/>
      <c r="T270" s="95"/>
    </row>
    <row r="271" spans="1:20" x14ac:dyDescent="0.25">
      <c r="A271" s="95"/>
      <c r="B271" s="95"/>
      <c r="C271" s="207"/>
      <c r="D271" s="95"/>
      <c r="E271" s="95"/>
      <c r="F271" s="95"/>
      <c r="G271" s="95"/>
      <c r="H271" s="95"/>
      <c r="I271" s="95"/>
      <c r="J271" s="95"/>
      <c r="K271" s="95"/>
      <c r="L271" s="95"/>
      <c r="M271" s="95"/>
      <c r="N271" s="95"/>
      <c r="O271" s="95"/>
      <c r="P271" s="95"/>
      <c r="Q271" s="95"/>
      <c r="R271" s="95"/>
      <c r="S271" s="95"/>
      <c r="T271" s="95"/>
    </row>
    <row r="272" spans="1:20" x14ac:dyDescent="0.25">
      <c r="A272" s="95"/>
      <c r="B272" s="95"/>
      <c r="C272" s="207"/>
      <c r="D272" s="95"/>
      <c r="E272" s="95"/>
      <c r="F272" s="95"/>
      <c r="G272" s="95"/>
      <c r="H272" s="95"/>
      <c r="I272" s="95"/>
      <c r="J272" s="95"/>
      <c r="K272" s="95"/>
      <c r="L272" s="95"/>
      <c r="M272" s="95"/>
      <c r="N272" s="95"/>
      <c r="O272" s="95"/>
      <c r="P272" s="95"/>
      <c r="Q272" s="95"/>
      <c r="R272" s="95"/>
      <c r="S272" s="95"/>
      <c r="T272" s="95"/>
    </row>
    <row r="273" spans="1:20" x14ac:dyDescent="0.25">
      <c r="A273" s="95"/>
      <c r="B273" s="95"/>
      <c r="C273" s="207"/>
      <c r="D273" s="95"/>
      <c r="E273" s="95"/>
      <c r="F273" s="95"/>
      <c r="G273" s="95"/>
      <c r="H273" s="95"/>
      <c r="I273" s="95"/>
      <c r="J273" s="95"/>
      <c r="K273" s="95"/>
      <c r="L273" s="95"/>
      <c r="M273" s="95"/>
      <c r="N273" s="95"/>
      <c r="O273" s="95"/>
      <c r="P273" s="95"/>
      <c r="Q273" s="95"/>
      <c r="R273" s="95"/>
      <c r="S273" s="95"/>
      <c r="T273" s="95"/>
    </row>
    <row r="274" spans="1:20" x14ac:dyDescent="0.25">
      <c r="A274" s="95"/>
      <c r="B274" s="95"/>
      <c r="C274" s="207"/>
      <c r="D274" s="95"/>
      <c r="E274" s="95"/>
      <c r="F274" s="95"/>
      <c r="G274" s="95"/>
      <c r="H274" s="95"/>
      <c r="I274" s="95"/>
      <c r="J274" s="95"/>
      <c r="K274" s="95"/>
      <c r="L274" s="95"/>
      <c r="M274" s="95"/>
      <c r="N274" s="95"/>
      <c r="O274" s="95"/>
      <c r="P274" s="95"/>
      <c r="Q274" s="95"/>
      <c r="R274" s="95"/>
      <c r="S274" s="95"/>
      <c r="T274" s="95"/>
    </row>
    <row r="275" spans="1:20" x14ac:dyDescent="0.25">
      <c r="A275" s="95"/>
      <c r="B275" s="95"/>
      <c r="C275" s="207"/>
      <c r="D275" s="95"/>
      <c r="E275" s="95"/>
      <c r="F275" s="95"/>
      <c r="G275" s="95"/>
      <c r="H275" s="95"/>
      <c r="I275" s="95"/>
      <c r="J275" s="95"/>
      <c r="K275" s="95"/>
      <c r="L275" s="95"/>
      <c r="M275" s="95"/>
      <c r="N275" s="95"/>
      <c r="O275" s="95"/>
      <c r="P275" s="95"/>
      <c r="Q275" s="95"/>
      <c r="R275" s="95"/>
      <c r="S275" s="95"/>
      <c r="T275" s="95"/>
    </row>
    <row r="276" spans="1:20" x14ac:dyDescent="0.25">
      <c r="A276" s="95"/>
      <c r="B276" s="95"/>
      <c r="C276" s="207"/>
      <c r="D276" s="95"/>
      <c r="E276" s="95"/>
      <c r="F276" s="95"/>
      <c r="G276" s="95"/>
      <c r="H276" s="95"/>
      <c r="I276" s="95"/>
      <c r="J276" s="95"/>
      <c r="K276" s="95"/>
      <c r="L276" s="95"/>
      <c r="M276" s="95"/>
      <c r="N276" s="95"/>
      <c r="O276" s="95"/>
      <c r="P276" s="95"/>
      <c r="Q276" s="95"/>
      <c r="R276" s="95"/>
      <c r="S276" s="95"/>
      <c r="T276" s="95"/>
    </row>
    <row r="277" spans="1:20" x14ac:dyDescent="0.25">
      <c r="A277" s="95"/>
      <c r="B277" s="95"/>
      <c r="C277" s="207"/>
      <c r="D277" s="95"/>
      <c r="E277" s="95"/>
      <c r="F277" s="95"/>
      <c r="G277" s="95"/>
      <c r="H277" s="95"/>
      <c r="I277" s="95"/>
      <c r="J277" s="95"/>
      <c r="K277" s="95"/>
      <c r="L277" s="95"/>
      <c r="M277" s="95"/>
      <c r="N277" s="95"/>
      <c r="O277" s="95"/>
      <c r="P277" s="95"/>
      <c r="Q277" s="95"/>
      <c r="R277" s="95"/>
      <c r="S277" s="95"/>
      <c r="T277" s="95"/>
    </row>
    <row r="278" spans="1:20" x14ac:dyDescent="0.25">
      <c r="A278" s="95"/>
      <c r="B278" s="95"/>
      <c r="C278" s="207"/>
      <c r="D278" s="95"/>
      <c r="E278" s="95"/>
      <c r="F278" s="95"/>
      <c r="G278" s="95"/>
      <c r="H278" s="95"/>
      <c r="I278" s="95"/>
      <c r="J278" s="95"/>
      <c r="K278" s="95"/>
      <c r="L278" s="95"/>
      <c r="M278" s="95"/>
      <c r="N278" s="95"/>
      <c r="O278" s="95"/>
      <c r="P278" s="95"/>
      <c r="Q278" s="95"/>
      <c r="R278" s="95"/>
      <c r="S278" s="95"/>
      <c r="T278" s="95"/>
    </row>
    <row r="279" spans="1:20" x14ac:dyDescent="0.25">
      <c r="A279" s="95"/>
      <c r="B279" s="95"/>
      <c r="C279" s="207"/>
      <c r="D279" s="95"/>
      <c r="E279" s="95"/>
      <c r="F279" s="95"/>
      <c r="G279" s="95"/>
      <c r="H279" s="95"/>
      <c r="I279" s="95"/>
      <c r="J279" s="95"/>
      <c r="K279" s="95"/>
      <c r="L279" s="95"/>
      <c r="M279" s="95"/>
      <c r="N279" s="95"/>
      <c r="O279" s="95"/>
      <c r="P279" s="95"/>
      <c r="Q279" s="95"/>
      <c r="R279" s="95"/>
      <c r="S279" s="95"/>
      <c r="T279" s="95"/>
    </row>
    <row r="280" spans="1:20" x14ac:dyDescent="0.25">
      <c r="A280" s="95"/>
      <c r="B280" s="95"/>
      <c r="C280" s="207"/>
      <c r="D280" s="95"/>
      <c r="E280" s="95"/>
      <c r="F280" s="95"/>
      <c r="G280" s="95"/>
      <c r="H280" s="95"/>
      <c r="I280" s="95"/>
      <c r="J280" s="95"/>
      <c r="K280" s="95"/>
      <c r="L280" s="95"/>
      <c r="M280" s="95"/>
      <c r="N280" s="95"/>
      <c r="O280" s="95"/>
      <c r="P280" s="95"/>
      <c r="Q280" s="95"/>
      <c r="R280" s="95"/>
      <c r="S280" s="95"/>
      <c r="T280" s="95"/>
    </row>
    <row r="281" spans="1:20" x14ac:dyDescent="0.25">
      <c r="A281" s="95"/>
      <c r="B281" s="95"/>
      <c r="C281" s="207"/>
      <c r="D281" s="95"/>
      <c r="E281" s="95"/>
      <c r="F281" s="95"/>
      <c r="G281" s="95"/>
      <c r="H281" s="95"/>
      <c r="I281" s="95"/>
      <c r="J281" s="95"/>
      <c r="K281" s="95"/>
      <c r="L281" s="95"/>
      <c r="M281" s="95"/>
      <c r="N281" s="95"/>
      <c r="O281" s="95"/>
      <c r="P281" s="95"/>
      <c r="Q281" s="95"/>
      <c r="R281" s="95"/>
      <c r="S281" s="95"/>
      <c r="T281" s="95"/>
    </row>
    <row r="282" spans="1:20" x14ac:dyDescent="0.25">
      <c r="A282" s="95"/>
      <c r="B282" s="95"/>
      <c r="C282" s="207"/>
      <c r="D282" s="95"/>
      <c r="E282" s="95"/>
      <c r="F282" s="95"/>
      <c r="G282" s="95"/>
      <c r="H282" s="95"/>
      <c r="I282" s="95"/>
      <c r="J282" s="95"/>
      <c r="K282" s="95"/>
      <c r="L282" s="95"/>
      <c r="M282" s="95"/>
      <c r="N282" s="95"/>
      <c r="O282" s="95"/>
      <c r="P282" s="95"/>
      <c r="Q282" s="95"/>
      <c r="R282" s="95"/>
      <c r="S282" s="95"/>
      <c r="T282" s="95"/>
    </row>
    <row r="283" spans="1:20" x14ac:dyDescent="0.25">
      <c r="A283" s="95"/>
      <c r="B283" s="95"/>
      <c r="C283" s="207"/>
      <c r="D283" s="95"/>
      <c r="E283" s="95"/>
      <c r="F283" s="95"/>
      <c r="G283" s="95"/>
      <c r="H283" s="95"/>
      <c r="I283" s="95"/>
      <c r="J283" s="95"/>
      <c r="K283" s="95"/>
      <c r="L283" s="95"/>
      <c r="M283" s="95"/>
      <c r="N283" s="95"/>
      <c r="O283" s="95"/>
      <c r="P283" s="95"/>
      <c r="Q283" s="95"/>
      <c r="R283" s="95"/>
      <c r="S283" s="95"/>
      <c r="T283" s="95"/>
    </row>
    <row r="284" spans="1:20" x14ac:dyDescent="0.25">
      <c r="A284" s="95"/>
      <c r="B284" s="95"/>
      <c r="C284" s="207"/>
      <c r="D284" s="95"/>
      <c r="E284" s="95"/>
      <c r="F284" s="95"/>
      <c r="G284" s="95"/>
      <c r="H284" s="95"/>
      <c r="I284" s="95"/>
      <c r="J284" s="95"/>
      <c r="K284" s="95"/>
      <c r="L284" s="95"/>
      <c r="M284" s="95"/>
      <c r="N284" s="95"/>
      <c r="O284" s="95"/>
      <c r="P284" s="95"/>
      <c r="Q284" s="95"/>
      <c r="R284" s="95"/>
      <c r="S284" s="95"/>
      <c r="T284" s="95"/>
    </row>
    <row r="285" spans="1:20" x14ac:dyDescent="0.25">
      <c r="A285" s="95"/>
      <c r="B285" s="95"/>
      <c r="C285" s="207"/>
      <c r="D285" s="95"/>
      <c r="E285" s="95"/>
      <c r="F285" s="95"/>
      <c r="G285" s="95"/>
      <c r="H285" s="95"/>
      <c r="I285" s="95"/>
      <c r="J285" s="95"/>
      <c r="K285" s="95"/>
      <c r="L285" s="95"/>
      <c r="M285" s="95"/>
      <c r="N285" s="95"/>
      <c r="O285" s="95"/>
      <c r="P285" s="95"/>
      <c r="Q285" s="95"/>
      <c r="R285" s="95"/>
      <c r="S285" s="95"/>
      <c r="T285" s="95"/>
    </row>
    <row r="286" spans="1:20" x14ac:dyDescent="0.25">
      <c r="A286" s="95"/>
      <c r="B286" s="95"/>
      <c r="C286" s="207"/>
      <c r="D286" s="95"/>
      <c r="E286" s="95"/>
      <c r="F286" s="95"/>
      <c r="G286" s="95"/>
      <c r="H286" s="95"/>
      <c r="I286" s="95"/>
      <c r="J286" s="95"/>
      <c r="K286" s="95"/>
      <c r="L286" s="95"/>
      <c r="M286" s="95"/>
      <c r="N286" s="95"/>
      <c r="O286" s="95"/>
      <c r="P286" s="95"/>
      <c r="Q286" s="95"/>
      <c r="R286" s="95"/>
      <c r="S286" s="95"/>
      <c r="T286" s="95"/>
    </row>
    <row r="287" spans="1:20" x14ac:dyDescent="0.25">
      <c r="A287" s="95"/>
      <c r="B287" s="95"/>
      <c r="C287" s="207"/>
      <c r="D287" s="95"/>
      <c r="E287" s="95"/>
      <c r="F287" s="95"/>
      <c r="G287" s="95"/>
      <c r="H287" s="95"/>
      <c r="I287" s="95"/>
      <c r="J287" s="95"/>
      <c r="K287" s="95"/>
      <c r="L287" s="95"/>
      <c r="M287" s="95"/>
      <c r="N287" s="95"/>
      <c r="O287" s="95"/>
      <c r="P287" s="95"/>
      <c r="Q287" s="95"/>
      <c r="R287" s="95"/>
      <c r="S287" s="95"/>
      <c r="T287" s="95"/>
    </row>
    <row r="288" spans="1:20" x14ac:dyDescent="0.25">
      <c r="A288" s="95"/>
      <c r="B288" s="95"/>
      <c r="C288" s="207"/>
      <c r="D288" s="95"/>
      <c r="E288" s="95"/>
      <c r="F288" s="95"/>
      <c r="G288" s="95"/>
      <c r="H288" s="95"/>
      <c r="I288" s="95"/>
      <c r="J288" s="95"/>
      <c r="K288" s="95"/>
      <c r="L288" s="95"/>
      <c r="M288" s="95"/>
      <c r="N288" s="95"/>
      <c r="O288" s="95"/>
      <c r="P288" s="95"/>
      <c r="Q288" s="95"/>
      <c r="R288" s="95"/>
      <c r="S288" s="95"/>
      <c r="T288" s="95"/>
    </row>
    <row r="289" spans="1:20" x14ac:dyDescent="0.25">
      <c r="A289" s="95"/>
      <c r="B289" s="95"/>
      <c r="C289" s="207"/>
      <c r="D289" s="95"/>
      <c r="E289" s="95"/>
      <c r="F289" s="95"/>
      <c r="G289" s="95"/>
      <c r="H289" s="95"/>
      <c r="I289" s="95"/>
      <c r="J289" s="95"/>
      <c r="K289" s="95"/>
      <c r="L289" s="95"/>
      <c r="M289" s="95"/>
      <c r="N289" s="95"/>
      <c r="O289" s="95"/>
      <c r="P289" s="95"/>
      <c r="Q289" s="95"/>
      <c r="R289" s="95"/>
      <c r="S289" s="95"/>
      <c r="T289" s="95"/>
    </row>
    <row r="290" spans="1:20" x14ac:dyDescent="0.25">
      <c r="A290" s="95"/>
      <c r="B290" s="95"/>
      <c r="C290" s="207"/>
      <c r="D290" s="95"/>
      <c r="E290" s="95"/>
      <c r="F290" s="95"/>
      <c r="G290" s="95"/>
      <c r="H290" s="95"/>
      <c r="I290" s="95"/>
      <c r="J290" s="95"/>
      <c r="K290" s="95"/>
      <c r="L290" s="95"/>
      <c r="M290" s="95"/>
      <c r="N290" s="95"/>
      <c r="O290" s="95"/>
      <c r="P290" s="95"/>
      <c r="Q290" s="95"/>
      <c r="R290" s="95"/>
      <c r="S290" s="95"/>
      <c r="T290" s="95"/>
    </row>
    <row r="291" spans="1:20" x14ac:dyDescent="0.25">
      <c r="A291" s="95"/>
      <c r="B291" s="95"/>
      <c r="C291" s="207"/>
      <c r="D291" s="95"/>
      <c r="E291" s="95"/>
      <c r="F291" s="95"/>
      <c r="G291" s="95"/>
      <c r="H291" s="95"/>
      <c r="I291" s="95"/>
      <c r="J291" s="95"/>
      <c r="K291" s="95"/>
      <c r="L291" s="95"/>
      <c r="M291" s="95"/>
      <c r="N291" s="95"/>
      <c r="O291" s="95"/>
      <c r="P291" s="95"/>
      <c r="Q291" s="95"/>
      <c r="R291" s="95"/>
      <c r="S291" s="95"/>
      <c r="T291" s="95"/>
    </row>
    <row r="292" spans="1:20" x14ac:dyDescent="0.25">
      <c r="A292" s="95"/>
      <c r="B292" s="95"/>
      <c r="C292" s="207"/>
      <c r="D292" s="95"/>
      <c r="E292" s="95"/>
      <c r="F292" s="95"/>
      <c r="G292" s="95"/>
      <c r="H292" s="95"/>
      <c r="I292" s="95"/>
      <c r="J292" s="95"/>
      <c r="K292" s="95"/>
      <c r="L292" s="95"/>
      <c r="M292" s="95"/>
      <c r="N292" s="95"/>
      <c r="O292" s="95"/>
      <c r="P292" s="95"/>
      <c r="Q292" s="95"/>
      <c r="R292" s="95"/>
      <c r="S292" s="95"/>
      <c r="T292" s="95"/>
    </row>
    <row r="293" spans="1:20" x14ac:dyDescent="0.25">
      <c r="A293" s="95"/>
      <c r="B293" s="95"/>
      <c r="C293" s="207"/>
      <c r="D293" s="95"/>
      <c r="E293" s="95"/>
      <c r="F293" s="95"/>
      <c r="G293" s="95"/>
      <c r="H293" s="95"/>
      <c r="I293" s="95"/>
      <c r="J293" s="95"/>
      <c r="K293" s="95"/>
      <c r="L293" s="95"/>
      <c r="M293" s="95"/>
      <c r="N293" s="95"/>
      <c r="O293" s="95"/>
      <c r="P293" s="95"/>
      <c r="Q293" s="95"/>
      <c r="R293" s="95"/>
      <c r="S293" s="95"/>
      <c r="T293" s="95"/>
    </row>
    <row r="294" spans="1:20" x14ac:dyDescent="0.25">
      <c r="A294" s="95"/>
      <c r="B294" s="95"/>
      <c r="C294" s="207"/>
      <c r="D294" s="95"/>
      <c r="E294" s="95"/>
      <c r="F294" s="95"/>
      <c r="G294" s="95"/>
      <c r="H294" s="95"/>
      <c r="I294" s="95"/>
      <c r="J294" s="95"/>
      <c r="K294" s="95"/>
      <c r="L294" s="95"/>
      <c r="M294" s="95"/>
      <c r="N294" s="95"/>
      <c r="O294" s="95"/>
      <c r="P294" s="95"/>
      <c r="Q294" s="95"/>
      <c r="R294" s="95"/>
      <c r="S294" s="95"/>
      <c r="T294" s="95"/>
    </row>
    <row r="295" spans="1:20" x14ac:dyDescent="0.25">
      <c r="A295" s="95"/>
      <c r="B295" s="95"/>
      <c r="C295" s="207"/>
      <c r="D295" s="95"/>
      <c r="E295" s="95"/>
      <c r="F295" s="95"/>
      <c r="G295" s="95"/>
      <c r="H295" s="95"/>
      <c r="I295" s="95"/>
      <c r="J295" s="95"/>
      <c r="K295" s="95"/>
      <c r="L295" s="95"/>
      <c r="M295" s="95"/>
      <c r="N295" s="95"/>
      <c r="O295" s="95"/>
      <c r="P295" s="95"/>
      <c r="Q295" s="95"/>
      <c r="R295" s="95"/>
      <c r="S295" s="95"/>
      <c r="T295" s="95"/>
    </row>
    <row r="296" spans="1:20" x14ac:dyDescent="0.25">
      <c r="A296" s="95"/>
      <c r="B296" s="95"/>
      <c r="C296" s="207"/>
      <c r="D296" s="95"/>
      <c r="E296" s="95"/>
      <c r="F296" s="95"/>
      <c r="G296" s="95"/>
      <c r="H296" s="95"/>
      <c r="I296" s="95"/>
      <c r="J296" s="95"/>
      <c r="K296" s="95"/>
      <c r="L296" s="95"/>
      <c r="M296" s="95"/>
      <c r="N296" s="95"/>
      <c r="O296" s="95"/>
      <c r="P296" s="95"/>
      <c r="Q296" s="95"/>
      <c r="R296" s="95"/>
      <c r="S296" s="95"/>
      <c r="T296" s="95"/>
    </row>
    <row r="297" spans="1:20" x14ac:dyDescent="0.25">
      <c r="A297" s="95"/>
      <c r="B297" s="95"/>
      <c r="C297" s="207"/>
      <c r="D297" s="95"/>
      <c r="E297" s="95"/>
      <c r="F297" s="95"/>
      <c r="G297" s="95"/>
      <c r="H297" s="95"/>
      <c r="I297" s="95"/>
      <c r="J297" s="95"/>
      <c r="K297" s="95"/>
      <c r="L297" s="95"/>
      <c r="M297" s="95"/>
      <c r="N297" s="95"/>
      <c r="O297" s="95"/>
      <c r="P297" s="95"/>
      <c r="Q297" s="95"/>
      <c r="R297" s="95"/>
      <c r="S297" s="95"/>
      <c r="T297" s="95"/>
    </row>
    <row r="298" spans="1:20" x14ac:dyDescent="0.25">
      <c r="A298" s="95"/>
      <c r="B298" s="95"/>
      <c r="C298" s="207"/>
      <c r="D298" s="95"/>
      <c r="E298" s="95"/>
      <c r="F298" s="95"/>
      <c r="G298" s="95"/>
      <c r="H298" s="95"/>
      <c r="I298" s="95"/>
      <c r="J298" s="95"/>
      <c r="K298" s="95"/>
      <c r="L298" s="95"/>
      <c r="M298" s="95"/>
      <c r="N298" s="95"/>
      <c r="O298" s="95"/>
      <c r="P298" s="95"/>
      <c r="Q298" s="95"/>
      <c r="R298" s="95"/>
      <c r="S298" s="95"/>
      <c r="T298" s="95"/>
    </row>
    <row r="299" spans="1:20" x14ac:dyDescent="0.25">
      <c r="A299" s="95"/>
      <c r="B299" s="95"/>
      <c r="C299" s="207"/>
      <c r="D299" s="95"/>
      <c r="E299" s="95"/>
      <c r="F299" s="95"/>
      <c r="G299" s="95"/>
      <c r="H299" s="95"/>
      <c r="I299" s="95"/>
      <c r="J299" s="95"/>
      <c r="K299" s="95"/>
      <c r="L299" s="95"/>
      <c r="M299" s="95"/>
      <c r="N299" s="95"/>
      <c r="O299" s="95"/>
      <c r="P299" s="95"/>
      <c r="Q299" s="95"/>
      <c r="R299" s="95"/>
      <c r="S299" s="95"/>
      <c r="T299" s="95"/>
    </row>
    <row r="300" spans="1:20" x14ac:dyDescent="0.25">
      <c r="A300" s="95"/>
      <c r="B300" s="95"/>
      <c r="C300" s="207"/>
      <c r="D300" s="95"/>
      <c r="E300" s="95"/>
      <c r="F300" s="95"/>
      <c r="G300" s="95"/>
      <c r="H300" s="95"/>
      <c r="I300" s="95"/>
      <c r="J300" s="95"/>
      <c r="K300" s="95"/>
      <c r="L300" s="95"/>
      <c r="M300" s="95"/>
      <c r="N300" s="95"/>
      <c r="O300" s="95"/>
      <c r="P300" s="95"/>
      <c r="Q300" s="95"/>
      <c r="R300" s="95"/>
      <c r="S300" s="95"/>
      <c r="T300" s="95"/>
    </row>
    <row r="301" spans="1:20" x14ac:dyDescent="0.25">
      <c r="A301" s="95"/>
      <c r="B301" s="95"/>
      <c r="C301" s="207"/>
      <c r="D301" s="95"/>
      <c r="E301" s="95"/>
      <c r="F301" s="95"/>
      <c r="G301" s="95"/>
      <c r="H301" s="95"/>
      <c r="I301" s="95"/>
      <c r="J301" s="95"/>
      <c r="K301" s="95"/>
      <c r="L301" s="95"/>
      <c r="M301" s="95"/>
      <c r="N301" s="95"/>
      <c r="O301" s="95"/>
      <c r="P301" s="95"/>
      <c r="Q301" s="95"/>
      <c r="R301" s="95"/>
      <c r="S301" s="95"/>
      <c r="T301" s="95"/>
    </row>
    <row r="302" spans="1:20" x14ac:dyDescent="0.25">
      <c r="A302" s="95"/>
      <c r="B302" s="95"/>
      <c r="C302" s="207"/>
      <c r="D302" s="95"/>
      <c r="E302" s="95"/>
      <c r="F302" s="95"/>
      <c r="G302" s="95"/>
      <c r="H302" s="95"/>
      <c r="I302" s="95"/>
      <c r="J302" s="95"/>
      <c r="K302" s="95"/>
      <c r="L302" s="95"/>
      <c r="M302" s="95"/>
      <c r="N302" s="95"/>
      <c r="O302" s="95"/>
      <c r="P302" s="95"/>
      <c r="Q302" s="95"/>
      <c r="R302" s="95"/>
      <c r="S302" s="95"/>
      <c r="T302" s="95"/>
    </row>
    <row r="303" spans="1:20" x14ac:dyDescent="0.25">
      <c r="A303" s="95"/>
      <c r="B303" s="95"/>
      <c r="C303" s="207"/>
      <c r="D303" s="95"/>
      <c r="E303" s="95"/>
      <c r="F303" s="95"/>
      <c r="G303" s="95"/>
      <c r="H303" s="95"/>
      <c r="I303" s="95"/>
      <c r="J303" s="95"/>
      <c r="K303" s="95"/>
      <c r="L303" s="95"/>
      <c r="M303" s="95"/>
      <c r="N303" s="95"/>
      <c r="O303" s="95"/>
      <c r="P303" s="95"/>
      <c r="Q303" s="95"/>
      <c r="R303" s="95"/>
      <c r="S303" s="95"/>
      <c r="T303" s="95"/>
    </row>
    <row r="304" spans="1:20" x14ac:dyDescent="0.25">
      <c r="A304" s="95"/>
      <c r="B304" s="95"/>
      <c r="C304" s="207"/>
      <c r="D304" s="95"/>
      <c r="E304" s="95"/>
      <c r="F304" s="95"/>
      <c r="G304" s="95"/>
      <c r="H304" s="95"/>
      <c r="I304" s="95"/>
      <c r="J304" s="95"/>
      <c r="K304" s="95"/>
      <c r="L304" s="95"/>
      <c r="M304" s="95"/>
      <c r="N304" s="95"/>
      <c r="O304" s="95"/>
      <c r="P304" s="95"/>
      <c r="Q304" s="95"/>
      <c r="R304" s="95"/>
      <c r="S304" s="95"/>
      <c r="T304" s="95"/>
    </row>
    <row r="305" spans="1:20" x14ac:dyDescent="0.25">
      <c r="A305" s="95"/>
      <c r="B305" s="95"/>
      <c r="C305" s="207"/>
      <c r="D305" s="95"/>
      <c r="E305" s="95"/>
      <c r="F305" s="95"/>
      <c r="G305" s="95"/>
      <c r="H305" s="95"/>
      <c r="I305" s="95"/>
      <c r="J305" s="95"/>
      <c r="K305" s="95"/>
      <c r="L305" s="95"/>
      <c r="M305" s="95"/>
      <c r="N305" s="95"/>
      <c r="O305" s="95"/>
      <c r="P305" s="95"/>
      <c r="Q305" s="95"/>
      <c r="R305" s="95"/>
      <c r="S305" s="95"/>
      <c r="T305" s="95"/>
    </row>
    <row r="306" spans="1:20" x14ac:dyDescent="0.25">
      <c r="A306" s="95"/>
      <c r="B306" s="95"/>
      <c r="C306" s="207"/>
      <c r="D306" s="95"/>
      <c r="E306" s="95"/>
      <c r="F306" s="95"/>
      <c r="G306" s="95"/>
      <c r="H306" s="95"/>
      <c r="I306" s="95"/>
      <c r="J306" s="95"/>
      <c r="K306" s="95"/>
      <c r="L306" s="95"/>
      <c r="M306" s="95"/>
      <c r="N306" s="95"/>
      <c r="O306" s="95"/>
      <c r="P306" s="95"/>
      <c r="Q306" s="95"/>
      <c r="R306" s="95"/>
      <c r="S306" s="95"/>
      <c r="T306" s="95"/>
    </row>
    <row r="307" spans="1:20" x14ac:dyDescent="0.25">
      <c r="A307" s="95"/>
      <c r="B307" s="95"/>
      <c r="C307" s="207"/>
      <c r="D307" s="95"/>
      <c r="E307" s="95"/>
      <c r="F307" s="95"/>
      <c r="G307" s="95"/>
      <c r="H307" s="95"/>
      <c r="I307" s="95"/>
      <c r="J307" s="95"/>
      <c r="K307" s="95"/>
      <c r="L307" s="95"/>
      <c r="M307" s="95"/>
      <c r="N307" s="95"/>
      <c r="O307" s="95"/>
      <c r="P307" s="95"/>
      <c r="Q307" s="95"/>
      <c r="R307" s="95"/>
      <c r="S307" s="95"/>
      <c r="T307" s="95"/>
    </row>
    <row r="308" spans="1:20" x14ac:dyDescent="0.25">
      <c r="A308" s="95"/>
      <c r="B308" s="95"/>
      <c r="C308" s="207"/>
      <c r="D308" s="95"/>
      <c r="E308" s="95"/>
      <c r="F308" s="95"/>
      <c r="G308" s="95"/>
      <c r="H308" s="95"/>
      <c r="I308" s="95"/>
      <c r="J308" s="95"/>
      <c r="K308" s="95"/>
      <c r="L308" s="95"/>
      <c r="M308" s="95"/>
      <c r="N308" s="95"/>
      <c r="O308" s="95"/>
      <c r="P308" s="95"/>
      <c r="Q308" s="95"/>
      <c r="R308" s="95"/>
      <c r="S308" s="95"/>
      <c r="T308" s="95"/>
    </row>
    <row r="309" spans="1:20" x14ac:dyDescent="0.25">
      <c r="A309" s="95"/>
      <c r="B309" s="95"/>
      <c r="C309" s="207"/>
      <c r="D309" s="95"/>
      <c r="E309" s="95"/>
      <c r="F309" s="95"/>
      <c r="G309" s="95"/>
      <c r="H309" s="95"/>
      <c r="I309" s="95"/>
      <c r="J309" s="95"/>
      <c r="K309" s="95"/>
      <c r="L309" s="95"/>
      <c r="M309" s="95"/>
      <c r="N309" s="95"/>
      <c r="O309" s="95"/>
      <c r="P309" s="95"/>
      <c r="Q309" s="95"/>
      <c r="R309" s="95"/>
      <c r="S309" s="95"/>
      <c r="T309" s="95"/>
    </row>
    <row r="310" spans="1:20" x14ac:dyDescent="0.25">
      <c r="A310" s="95"/>
      <c r="B310" s="95"/>
      <c r="C310" s="207"/>
      <c r="D310" s="95"/>
      <c r="E310" s="95"/>
      <c r="F310" s="95"/>
      <c r="G310" s="95"/>
      <c r="H310" s="95"/>
      <c r="I310" s="95"/>
      <c r="J310" s="95"/>
      <c r="K310" s="95"/>
      <c r="L310" s="95"/>
      <c r="M310" s="95"/>
      <c r="N310" s="95"/>
      <c r="O310" s="95"/>
      <c r="P310" s="95"/>
      <c r="Q310" s="95"/>
      <c r="R310" s="95"/>
      <c r="S310" s="95"/>
      <c r="T310" s="95"/>
    </row>
    <row r="311" spans="1:20" x14ac:dyDescent="0.25">
      <c r="A311" s="95"/>
      <c r="B311" s="95"/>
      <c r="C311" s="207"/>
      <c r="D311" s="95"/>
      <c r="E311" s="95"/>
      <c r="F311" s="95"/>
      <c r="G311" s="95"/>
      <c r="H311" s="95"/>
      <c r="I311" s="95"/>
      <c r="J311" s="95"/>
      <c r="K311" s="95"/>
      <c r="L311" s="95"/>
      <c r="M311" s="95"/>
      <c r="N311" s="95"/>
      <c r="O311" s="95"/>
      <c r="P311" s="95"/>
      <c r="Q311" s="95"/>
      <c r="R311" s="95"/>
      <c r="S311" s="95"/>
      <c r="T311" s="95"/>
    </row>
    <row r="312" spans="1:20" x14ac:dyDescent="0.25">
      <c r="A312" s="95"/>
      <c r="B312" s="95"/>
      <c r="C312" s="207"/>
      <c r="D312" s="95"/>
      <c r="E312" s="95"/>
      <c r="F312" s="95"/>
      <c r="G312" s="95"/>
      <c r="H312" s="95"/>
      <c r="I312" s="95"/>
      <c r="J312" s="95"/>
      <c r="K312" s="95"/>
      <c r="L312" s="95"/>
      <c r="M312" s="95"/>
      <c r="N312" s="95"/>
      <c r="O312" s="95"/>
      <c r="P312" s="95"/>
      <c r="Q312" s="95"/>
      <c r="R312" s="95"/>
      <c r="S312" s="95"/>
      <c r="T312" s="95"/>
    </row>
    <row r="313" spans="1:20" x14ac:dyDescent="0.25">
      <c r="A313" s="95"/>
      <c r="B313" s="95"/>
      <c r="C313" s="207"/>
      <c r="D313" s="95"/>
      <c r="E313" s="95"/>
      <c r="F313" s="95"/>
      <c r="G313" s="95"/>
      <c r="H313" s="95"/>
      <c r="I313" s="95"/>
      <c r="J313" s="95"/>
      <c r="K313" s="95"/>
      <c r="L313" s="95"/>
      <c r="M313" s="95"/>
      <c r="N313" s="95"/>
      <c r="O313" s="95"/>
      <c r="P313" s="95"/>
      <c r="Q313" s="95"/>
      <c r="R313" s="95"/>
      <c r="S313" s="95"/>
      <c r="T313" s="95"/>
    </row>
    <row r="314" spans="1:20" x14ac:dyDescent="0.25">
      <c r="A314" s="95"/>
      <c r="B314" s="95"/>
      <c r="C314" s="207"/>
      <c r="D314" s="95"/>
      <c r="E314" s="95"/>
      <c r="F314" s="95"/>
      <c r="G314" s="95"/>
      <c r="H314" s="95"/>
      <c r="I314" s="95"/>
      <c r="J314" s="95"/>
      <c r="K314" s="95"/>
      <c r="L314" s="95"/>
      <c r="M314" s="95"/>
      <c r="N314" s="95"/>
      <c r="O314" s="95"/>
      <c r="P314" s="95"/>
      <c r="Q314" s="95"/>
      <c r="R314" s="95"/>
      <c r="S314" s="95"/>
      <c r="T314" s="95"/>
    </row>
    <row r="315" spans="1:20" x14ac:dyDescent="0.25">
      <c r="A315" s="95"/>
      <c r="B315" s="95"/>
      <c r="C315" s="207"/>
      <c r="D315" s="95"/>
      <c r="E315" s="95"/>
      <c r="F315" s="95"/>
      <c r="G315" s="95"/>
      <c r="H315" s="95"/>
      <c r="I315" s="95"/>
      <c r="J315" s="95"/>
      <c r="K315" s="95"/>
      <c r="L315" s="95"/>
      <c r="M315" s="95"/>
      <c r="N315" s="95"/>
      <c r="O315" s="95"/>
      <c r="P315" s="95"/>
      <c r="Q315" s="95"/>
      <c r="R315" s="95"/>
      <c r="S315" s="95"/>
      <c r="T315" s="95"/>
    </row>
    <row r="316" spans="1:20" x14ac:dyDescent="0.25">
      <c r="A316" s="95"/>
      <c r="B316" s="95"/>
      <c r="C316" s="207"/>
      <c r="D316" s="95"/>
      <c r="E316" s="95"/>
      <c r="F316" s="95"/>
      <c r="G316" s="95"/>
      <c r="H316" s="95"/>
      <c r="I316" s="95"/>
      <c r="J316" s="95"/>
      <c r="K316" s="95"/>
      <c r="L316" s="95"/>
      <c r="M316" s="95"/>
      <c r="N316" s="95"/>
      <c r="O316" s="95"/>
      <c r="P316" s="95"/>
      <c r="Q316" s="95"/>
      <c r="R316" s="95"/>
      <c r="S316" s="95"/>
      <c r="T316" s="95"/>
    </row>
    <row r="317" spans="1:20" x14ac:dyDescent="0.25">
      <c r="A317" s="95"/>
      <c r="B317" s="95"/>
      <c r="C317" s="207"/>
      <c r="D317" s="95"/>
      <c r="E317" s="95"/>
      <c r="F317" s="95"/>
      <c r="G317" s="95"/>
      <c r="H317" s="95"/>
      <c r="I317" s="95"/>
      <c r="J317" s="95"/>
      <c r="K317" s="95"/>
      <c r="L317" s="95"/>
      <c r="M317" s="95"/>
      <c r="N317" s="95"/>
      <c r="O317" s="95"/>
      <c r="P317" s="95"/>
      <c r="Q317" s="95"/>
      <c r="R317" s="95"/>
      <c r="S317" s="95"/>
      <c r="T317" s="95"/>
    </row>
    <row r="318" spans="1:20" x14ac:dyDescent="0.25">
      <c r="A318" s="95"/>
      <c r="B318" s="95"/>
      <c r="C318" s="207"/>
      <c r="D318" s="95"/>
      <c r="E318" s="95"/>
      <c r="F318" s="95"/>
      <c r="G318" s="95"/>
      <c r="H318" s="95"/>
      <c r="I318" s="95"/>
      <c r="J318" s="95"/>
      <c r="K318" s="95"/>
      <c r="L318" s="95"/>
      <c r="M318" s="95"/>
      <c r="N318" s="95"/>
      <c r="O318" s="95"/>
      <c r="P318" s="95"/>
      <c r="Q318" s="95"/>
      <c r="R318" s="95"/>
      <c r="S318" s="95"/>
      <c r="T318" s="95"/>
    </row>
    <row r="319" spans="1:20" x14ac:dyDescent="0.25">
      <c r="A319" s="95"/>
      <c r="B319" s="95"/>
      <c r="C319" s="207"/>
      <c r="D319" s="95"/>
      <c r="E319" s="95"/>
      <c r="F319" s="95"/>
      <c r="G319" s="95"/>
      <c r="H319" s="95"/>
      <c r="I319" s="95"/>
      <c r="J319" s="95"/>
      <c r="K319" s="95"/>
      <c r="L319" s="95"/>
      <c r="M319" s="95"/>
      <c r="N319" s="95"/>
      <c r="O319" s="95"/>
      <c r="P319" s="95"/>
      <c r="Q319" s="95"/>
      <c r="R319" s="95"/>
      <c r="S319" s="95"/>
      <c r="T319" s="95"/>
    </row>
    <row r="320" spans="1:20" x14ac:dyDescent="0.25">
      <c r="A320" s="95"/>
      <c r="B320" s="95"/>
      <c r="C320" s="207"/>
      <c r="D320" s="95"/>
      <c r="E320" s="95"/>
      <c r="F320" s="95"/>
      <c r="G320" s="95"/>
      <c r="H320" s="95"/>
      <c r="I320" s="95"/>
      <c r="J320" s="95"/>
      <c r="K320" s="95"/>
      <c r="L320" s="95"/>
      <c r="M320" s="95"/>
      <c r="N320" s="95"/>
      <c r="O320" s="95"/>
      <c r="P320" s="95"/>
      <c r="Q320" s="95"/>
      <c r="R320" s="95"/>
      <c r="S320" s="95"/>
      <c r="T320" s="95"/>
    </row>
    <row r="321" spans="1:20" x14ac:dyDescent="0.25">
      <c r="A321" s="95"/>
      <c r="B321" s="95"/>
      <c r="C321" s="207"/>
      <c r="D321" s="95"/>
      <c r="E321" s="95"/>
      <c r="F321" s="95"/>
      <c r="G321" s="95"/>
      <c r="H321" s="95"/>
      <c r="I321" s="95"/>
      <c r="J321" s="95"/>
      <c r="K321" s="95"/>
      <c r="L321" s="95"/>
      <c r="M321" s="95"/>
      <c r="N321" s="95"/>
      <c r="O321" s="95"/>
      <c r="P321" s="95"/>
      <c r="Q321" s="95"/>
      <c r="R321" s="95"/>
      <c r="S321" s="95"/>
      <c r="T321" s="95"/>
    </row>
    <row r="322" spans="1:20" x14ac:dyDescent="0.25">
      <c r="A322" s="95"/>
      <c r="B322" s="95"/>
      <c r="C322" s="207"/>
      <c r="D322" s="95"/>
      <c r="E322" s="95"/>
      <c r="F322" s="95"/>
      <c r="G322" s="95"/>
      <c r="H322" s="95"/>
      <c r="I322" s="95"/>
      <c r="J322" s="95"/>
      <c r="K322" s="95"/>
      <c r="L322" s="95"/>
      <c r="M322" s="95"/>
      <c r="N322" s="95"/>
      <c r="O322" s="95"/>
      <c r="P322" s="95"/>
      <c r="Q322" s="95"/>
      <c r="R322" s="95"/>
      <c r="S322" s="95"/>
      <c r="T322" s="95"/>
    </row>
    <row r="323" spans="1:20" x14ac:dyDescent="0.25">
      <c r="A323" s="95"/>
      <c r="B323" s="95"/>
      <c r="C323" s="207"/>
      <c r="D323" s="95"/>
      <c r="E323" s="95"/>
      <c r="F323" s="95"/>
      <c r="G323" s="95"/>
      <c r="H323" s="95"/>
      <c r="I323" s="95"/>
      <c r="J323" s="95"/>
      <c r="K323" s="95"/>
      <c r="L323" s="95"/>
      <c r="M323" s="95"/>
      <c r="N323" s="95"/>
      <c r="O323" s="95"/>
      <c r="P323" s="95"/>
      <c r="Q323" s="95"/>
      <c r="R323" s="95"/>
      <c r="S323" s="95"/>
      <c r="T323" s="95"/>
    </row>
    <row r="324" spans="1:20" x14ac:dyDescent="0.25">
      <c r="A324" s="95"/>
      <c r="B324" s="95"/>
      <c r="C324" s="207"/>
      <c r="D324" s="95"/>
      <c r="E324" s="95"/>
      <c r="F324" s="95"/>
      <c r="G324" s="95"/>
      <c r="H324" s="95"/>
      <c r="I324" s="95"/>
      <c r="J324" s="95"/>
      <c r="K324" s="95"/>
      <c r="L324" s="95"/>
      <c r="M324" s="95"/>
      <c r="N324" s="95"/>
      <c r="O324" s="95"/>
      <c r="P324" s="95"/>
      <c r="Q324" s="95"/>
      <c r="R324" s="95"/>
      <c r="S324" s="95"/>
      <c r="T324" s="95"/>
    </row>
    <row r="325" spans="1:20" x14ac:dyDescent="0.25">
      <c r="A325" s="95"/>
      <c r="B325" s="95"/>
      <c r="C325" s="207"/>
      <c r="D325" s="95"/>
      <c r="E325" s="95"/>
      <c r="F325" s="95"/>
      <c r="G325" s="95"/>
      <c r="H325" s="95"/>
      <c r="I325" s="95"/>
      <c r="J325" s="95"/>
      <c r="K325" s="95"/>
      <c r="L325" s="95"/>
      <c r="M325" s="95"/>
      <c r="N325" s="95"/>
      <c r="O325" s="95"/>
      <c r="P325" s="95"/>
      <c r="Q325" s="95"/>
      <c r="R325" s="95"/>
      <c r="S325" s="95"/>
      <c r="T325" s="95"/>
    </row>
    <row r="326" spans="1:20" x14ac:dyDescent="0.25">
      <c r="A326" s="95"/>
      <c r="B326" s="95"/>
      <c r="C326" s="207"/>
      <c r="D326" s="95"/>
      <c r="E326" s="95"/>
      <c r="F326" s="95"/>
      <c r="G326" s="95"/>
      <c r="H326" s="95"/>
      <c r="I326" s="95"/>
      <c r="J326" s="95"/>
      <c r="K326" s="95"/>
      <c r="L326" s="95"/>
      <c r="M326" s="95"/>
      <c r="N326" s="95"/>
      <c r="O326" s="95"/>
      <c r="P326" s="95"/>
      <c r="Q326" s="95"/>
      <c r="R326" s="95"/>
      <c r="S326" s="95"/>
      <c r="T326" s="95"/>
    </row>
    <row r="327" spans="1:20" x14ac:dyDescent="0.25">
      <c r="A327" s="95"/>
      <c r="B327" s="95"/>
      <c r="C327" s="207"/>
      <c r="D327" s="95"/>
      <c r="E327" s="95"/>
      <c r="F327" s="95"/>
      <c r="G327" s="95"/>
      <c r="H327" s="95"/>
      <c r="I327" s="95"/>
      <c r="J327" s="95"/>
      <c r="K327" s="95"/>
      <c r="L327" s="95"/>
      <c r="M327" s="95"/>
      <c r="N327" s="95"/>
      <c r="O327" s="95"/>
      <c r="P327" s="95"/>
      <c r="Q327" s="95"/>
      <c r="R327" s="95"/>
      <c r="S327" s="95"/>
      <c r="T327" s="95"/>
    </row>
    <row r="328" spans="1:20" x14ac:dyDescent="0.25">
      <c r="A328" s="95"/>
      <c r="B328" s="95"/>
      <c r="C328" s="207"/>
      <c r="D328" s="95"/>
      <c r="E328" s="95"/>
      <c r="F328" s="95"/>
      <c r="G328" s="95"/>
      <c r="H328" s="95"/>
      <c r="I328" s="95"/>
      <c r="J328" s="95"/>
      <c r="K328" s="95"/>
      <c r="L328" s="95"/>
      <c r="M328" s="95"/>
      <c r="N328" s="95"/>
      <c r="O328" s="95"/>
      <c r="P328" s="95"/>
      <c r="Q328" s="95"/>
      <c r="R328" s="95"/>
      <c r="S328" s="95"/>
      <c r="T328" s="95"/>
    </row>
    <row r="329" spans="1:20" x14ac:dyDescent="0.25">
      <c r="A329" s="95"/>
      <c r="B329" s="95"/>
      <c r="C329" s="207"/>
      <c r="D329" s="95"/>
      <c r="E329" s="95"/>
      <c r="F329" s="95"/>
      <c r="G329" s="95"/>
      <c r="H329" s="95"/>
      <c r="I329" s="95"/>
      <c r="J329" s="95"/>
      <c r="K329" s="95"/>
      <c r="L329" s="95"/>
      <c r="M329" s="95"/>
      <c r="N329" s="95"/>
      <c r="O329" s="95"/>
      <c r="P329" s="95"/>
      <c r="Q329" s="95"/>
      <c r="R329" s="95"/>
      <c r="S329" s="95"/>
      <c r="T329" s="95"/>
    </row>
    <row r="330" spans="1:20" x14ac:dyDescent="0.25">
      <c r="A330" s="95"/>
      <c r="B330" s="95"/>
      <c r="C330" s="207"/>
      <c r="D330" s="95"/>
      <c r="E330" s="95"/>
      <c r="F330" s="95"/>
      <c r="G330" s="95"/>
      <c r="H330" s="95"/>
      <c r="I330" s="95"/>
      <c r="J330" s="95"/>
      <c r="K330" s="95"/>
      <c r="L330" s="95"/>
      <c r="M330" s="95"/>
      <c r="N330" s="95"/>
      <c r="O330" s="95"/>
      <c r="P330" s="95"/>
      <c r="Q330" s="95"/>
      <c r="R330" s="95"/>
      <c r="S330" s="95"/>
      <c r="T330" s="95"/>
    </row>
    <row r="331" spans="1:20" x14ac:dyDescent="0.25">
      <c r="A331" s="95"/>
      <c r="B331" s="95"/>
      <c r="C331" s="207"/>
      <c r="D331" s="95"/>
      <c r="E331" s="95"/>
      <c r="F331" s="95"/>
      <c r="G331" s="95"/>
      <c r="H331" s="95"/>
      <c r="I331" s="95"/>
      <c r="J331" s="95"/>
      <c r="K331" s="95"/>
      <c r="L331" s="95"/>
      <c r="M331" s="95"/>
      <c r="N331" s="95"/>
      <c r="O331" s="95"/>
      <c r="P331" s="95"/>
      <c r="Q331" s="95"/>
      <c r="R331" s="95"/>
      <c r="S331" s="95"/>
      <c r="T331" s="95"/>
    </row>
    <row r="332" spans="1:20" x14ac:dyDescent="0.25">
      <c r="A332" s="95"/>
      <c r="B332" s="95"/>
      <c r="C332" s="207"/>
      <c r="D332" s="95"/>
      <c r="E332" s="95"/>
      <c r="F332" s="95"/>
      <c r="G332" s="95"/>
      <c r="H332" s="95"/>
      <c r="I332" s="95"/>
      <c r="J332" s="95"/>
      <c r="K332" s="95"/>
      <c r="L332" s="95"/>
      <c r="M332" s="95"/>
      <c r="N332" s="95"/>
      <c r="O332" s="95"/>
      <c r="P332" s="95"/>
      <c r="Q332" s="95"/>
      <c r="R332" s="95"/>
      <c r="S332" s="95"/>
      <c r="T332" s="95"/>
    </row>
    <row r="333" spans="1:20" x14ac:dyDescent="0.25">
      <c r="A333" s="95"/>
      <c r="B333" s="95"/>
      <c r="C333" s="207"/>
      <c r="D333" s="95"/>
      <c r="E333" s="95"/>
      <c r="F333" s="95"/>
      <c r="G333" s="95"/>
      <c r="H333" s="95"/>
      <c r="I333" s="95"/>
      <c r="J333" s="95"/>
      <c r="K333" s="95"/>
      <c r="L333" s="95"/>
      <c r="M333" s="95"/>
      <c r="N333" s="95"/>
      <c r="O333" s="95"/>
      <c r="P333" s="95"/>
      <c r="Q333" s="95"/>
      <c r="R333" s="95"/>
      <c r="S333" s="95"/>
      <c r="T333" s="95"/>
    </row>
    <row r="334" spans="1:20" x14ac:dyDescent="0.25">
      <c r="A334" s="95"/>
      <c r="B334" s="95"/>
      <c r="C334" s="207"/>
      <c r="D334" s="95"/>
      <c r="E334" s="95"/>
      <c r="F334" s="95"/>
      <c r="G334" s="95"/>
      <c r="H334" s="95"/>
      <c r="I334" s="95"/>
      <c r="J334" s="95"/>
      <c r="K334" s="95"/>
      <c r="L334" s="95"/>
      <c r="M334" s="95"/>
      <c r="N334" s="95"/>
      <c r="O334" s="95"/>
      <c r="P334" s="95"/>
      <c r="Q334" s="95"/>
      <c r="R334" s="95"/>
      <c r="S334" s="95"/>
      <c r="T334" s="95"/>
    </row>
    <row r="335" spans="1:20" x14ac:dyDescent="0.25">
      <c r="A335" s="95"/>
      <c r="B335" s="95"/>
      <c r="C335" s="207"/>
      <c r="D335" s="95"/>
      <c r="E335" s="95"/>
      <c r="F335" s="95"/>
      <c r="G335" s="95"/>
      <c r="H335" s="95"/>
      <c r="I335" s="95"/>
      <c r="J335" s="95"/>
      <c r="K335" s="95"/>
      <c r="L335" s="95"/>
      <c r="M335" s="95"/>
      <c r="N335" s="95"/>
      <c r="O335" s="95"/>
      <c r="P335" s="95"/>
      <c r="Q335" s="95"/>
      <c r="R335" s="95"/>
      <c r="S335" s="95"/>
      <c r="T335" s="95"/>
    </row>
    <row r="336" spans="1:20" x14ac:dyDescent="0.25">
      <c r="A336" s="95"/>
      <c r="B336" s="95"/>
      <c r="C336" s="207"/>
      <c r="D336" s="95"/>
      <c r="E336" s="95"/>
      <c r="F336" s="95"/>
      <c r="G336" s="95"/>
      <c r="H336" s="95"/>
      <c r="I336" s="95"/>
      <c r="J336" s="95"/>
      <c r="K336" s="95"/>
      <c r="L336" s="95"/>
      <c r="M336" s="95"/>
      <c r="N336" s="95"/>
      <c r="O336" s="95"/>
      <c r="P336" s="95"/>
      <c r="Q336" s="95"/>
      <c r="R336" s="95"/>
      <c r="S336" s="95"/>
      <c r="T336" s="95"/>
    </row>
  </sheetData>
  <mergeCells count="12">
    <mergeCell ref="A24:C24"/>
    <mergeCell ref="A39:C39"/>
    <mergeCell ref="A47:C47"/>
    <mergeCell ref="A16:C16"/>
    <mergeCell ref="A18:C18"/>
    <mergeCell ref="A5:C5"/>
    <mergeCell ref="A15:C1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F22" sqref="F22"/>
    </sheetView>
  </sheetViews>
  <sheetFormatPr defaultColWidth="9.140625" defaultRowHeight="15.75" x14ac:dyDescent="0.25"/>
  <cols>
    <col min="1" max="1" width="9.140625" style="14"/>
    <col min="2" max="2" width="57.85546875" style="14" customWidth="1"/>
    <col min="3" max="3" width="13" style="14" customWidth="1"/>
    <col min="4" max="4" width="17.85546875" style="14" customWidth="1"/>
    <col min="5" max="6" width="19" style="14" customWidth="1"/>
    <col min="7" max="7" width="12" style="15" customWidth="1"/>
    <col min="8" max="19" width="9" style="15" customWidth="1"/>
    <col min="20" max="20" width="13.140625" style="14" customWidth="1"/>
    <col min="21" max="21" width="24.85546875" style="14" customWidth="1"/>
    <col min="22" max="16384" width="9.140625" style="14"/>
  </cols>
  <sheetData>
    <row r="1" spans="1:21" ht="18.75" x14ac:dyDescent="0.25">
      <c r="A1" s="15"/>
      <c r="B1" s="15"/>
      <c r="C1" s="15"/>
      <c r="D1" s="15"/>
      <c r="E1" s="15"/>
      <c r="F1" s="15"/>
      <c r="U1" s="4" t="s">
        <v>65</v>
      </c>
    </row>
    <row r="2" spans="1:21" ht="18.75" x14ac:dyDescent="0.3">
      <c r="A2" s="15"/>
      <c r="B2" s="15"/>
      <c r="C2" s="15"/>
      <c r="D2" s="15"/>
      <c r="E2" s="15"/>
      <c r="F2" s="15"/>
      <c r="U2" s="1" t="s">
        <v>7</v>
      </c>
    </row>
    <row r="3" spans="1:21" ht="18.75" x14ac:dyDescent="0.3">
      <c r="A3" s="15"/>
      <c r="B3" s="15"/>
      <c r="C3" s="15"/>
      <c r="D3" s="15"/>
      <c r="E3" s="15"/>
      <c r="F3" s="15"/>
      <c r="U3" s="1" t="s">
        <v>64</v>
      </c>
    </row>
    <row r="4" spans="1:21" ht="18.75" customHeight="1" x14ac:dyDescent="0.25">
      <c r="A4" s="409" t="str">
        <f>'6.1. Паспорт сетевой график'!A5:K5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15"/>
      <c r="B5" s="15"/>
      <c r="C5" s="15"/>
      <c r="D5" s="15"/>
      <c r="E5" s="15"/>
      <c r="F5" s="15"/>
      <c r="U5" s="1"/>
    </row>
    <row r="6" spans="1:21" ht="18.75" x14ac:dyDescent="0.25">
      <c r="A6" s="411" t="s">
        <v>6</v>
      </c>
      <c r="B6" s="411"/>
      <c r="C6" s="411"/>
      <c r="D6" s="411"/>
      <c r="E6" s="411"/>
      <c r="F6" s="411"/>
      <c r="G6" s="411"/>
      <c r="H6" s="411"/>
      <c r="I6" s="411"/>
      <c r="J6" s="411"/>
      <c r="K6" s="411"/>
      <c r="L6" s="411"/>
      <c r="M6" s="411"/>
      <c r="N6" s="411"/>
      <c r="O6" s="411"/>
      <c r="P6" s="411"/>
      <c r="Q6" s="411"/>
      <c r="R6" s="411"/>
      <c r="S6" s="411"/>
      <c r="T6" s="411"/>
      <c r="U6" s="411"/>
    </row>
    <row r="7" spans="1:21" ht="18.75" x14ac:dyDescent="0.25">
      <c r="A7" s="71"/>
      <c r="B7" s="71"/>
      <c r="C7" s="71"/>
      <c r="D7" s="71"/>
      <c r="E7" s="71"/>
      <c r="F7" s="71"/>
      <c r="G7" s="71"/>
      <c r="H7" s="71"/>
      <c r="I7" s="71"/>
      <c r="J7" s="71"/>
      <c r="K7" s="71"/>
      <c r="L7" s="71"/>
      <c r="M7" s="71"/>
      <c r="N7" s="71"/>
      <c r="O7" s="71"/>
      <c r="P7" s="71"/>
      <c r="Q7" s="71"/>
      <c r="R7" s="71"/>
      <c r="S7" s="71"/>
      <c r="T7" s="130"/>
      <c r="U7" s="130"/>
    </row>
    <row r="8" spans="1:21" x14ac:dyDescent="0.25">
      <c r="A8" s="414" t="str">
        <f>'6.1. Паспорт сетевой график'!A9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412" t="s">
        <v>5</v>
      </c>
      <c r="B9" s="412"/>
      <c r="C9" s="412"/>
      <c r="D9" s="412"/>
      <c r="E9" s="412"/>
      <c r="F9" s="412"/>
      <c r="G9" s="412"/>
      <c r="H9" s="412"/>
      <c r="I9" s="412"/>
      <c r="J9" s="412"/>
      <c r="K9" s="412"/>
      <c r="L9" s="412"/>
      <c r="M9" s="412"/>
      <c r="N9" s="412"/>
      <c r="O9" s="412"/>
      <c r="P9" s="412"/>
      <c r="Q9" s="412"/>
      <c r="R9" s="412"/>
      <c r="S9" s="412"/>
      <c r="T9" s="412"/>
      <c r="U9" s="412"/>
    </row>
    <row r="10" spans="1:21" ht="18.75" x14ac:dyDescent="0.25">
      <c r="A10" s="71"/>
      <c r="B10" s="71"/>
      <c r="C10" s="71"/>
      <c r="D10" s="71"/>
      <c r="E10" s="71"/>
      <c r="F10" s="71"/>
      <c r="G10" s="71"/>
      <c r="H10" s="71"/>
      <c r="I10" s="71"/>
      <c r="J10" s="71"/>
      <c r="K10" s="71"/>
      <c r="L10" s="71"/>
      <c r="M10" s="71"/>
      <c r="N10" s="71"/>
      <c r="O10" s="71"/>
      <c r="P10" s="71"/>
      <c r="Q10" s="71"/>
      <c r="R10" s="71"/>
      <c r="S10" s="71"/>
      <c r="T10" s="130"/>
      <c r="U10" s="130"/>
    </row>
    <row r="11" spans="1:21" x14ac:dyDescent="0.25">
      <c r="A11" s="414" t="str">
        <f>'6.1. Паспорт сетевой график'!A12</f>
        <v>L_19-1035</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412" t="s">
        <v>4</v>
      </c>
      <c r="B12" s="412"/>
      <c r="C12" s="412"/>
      <c r="D12" s="412"/>
      <c r="E12" s="412"/>
      <c r="F12" s="412"/>
      <c r="G12" s="412"/>
      <c r="H12" s="412"/>
      <c r="I12" s="412"/>
      <c r="J12" s="412"/>
      <c r="K12" s="412"/>
      <c r="L12" s="412"/>
      <c r="M12" s="412"/>
      <c r="N12" s="412"/>
      <c r="O12" s="412"/>
      <c r="P12" s="412"/>
      <c r="Q12" s="412"/>
      <c r="R12" s="412"/>
      <c r="S12" s="412"/>
      <c r="T12" s="412"/>
      <c r="U12" s="412"/>
    </row>
    <row r="13" spans="1:21" ht="16.5" customHeight="1" x14ac:dyDescent="0.3">
      <c r="A13" s="108"/>
      <c r="B13" s="108"/>
      <c r="C13" s="108"/>
      <c r="D13" s="108"/>
      <c r="E13" s="108"/>
      <c r="F13" s="108"/>
      <c r="G13" s="108"/>
      <c r="H13" s="108"/>
      <c r="I13" s="108"/>
      <c r="J13" s="108"/>
      <c r="K13" s="108"/>
      <c r="L13" s="108"/>
      <c r="M13" s="108"/>
      <c r="N13" s="108"/>
      <c r="O13" s="108"/>
      <c r="P13" s="108"/>
      <c r="Q13" s="108"/>
      <c r="R13" s="108"/>
      <c r="S13" s="108"/>
      <c r="T13" s="23"/>
      <c r="U13" s="23"/>
    </row>
    <row r="14" spans="1:21" ht="36" customHeight="1" x14ac:dyDescent="0.25">
      <c r="A14" s="448" t="str">
        <f>'6.1. Паспорт сетевой график'!A15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448"/>
      <c r="C14" s="448"/>
      <c r="D14" s="448"/>
      <c r="E14" s="448"/>
      <c r="F14" s="448"/>
      <c r="G14" s="448"/>
      <c r="H14" s="448"/>
      <c r="I14" s="448"/>
      <c r="J14" s="448"/>
      <c r="K14" s="448"/>
      <c r="L14" s="448"/>
      <c r="M14" s="448"/>
      <c r="N14" s="448"/>
      <c r="O14" s="448"/>
      <c r="P14" s="448"/>
      <c r="Q14" s="448"/>
      <c r="R14" s="448"/>
      <c r="S14" s="448"/>
      <c r="T14" s="448"/>
      <c r="U14" s="448"/>
    </row>
    <row r="15" spans="1:21" ht="15.75" customHeight="1" x14ac:dyDescent="0.25">
      <c r="A15" s="412" t="s">
        <v>3</v>
      </c>
      <c r="B15" s="412"/>
      <c r="C15" s="412"/>
      <c r="D15" s="412"/>
      <c r="E15" s="412"/>
      <c r="F15" s="412"/>
      <c r="G15" s="412"/>
      <c r="H15" s="412"/>
      <c r="I15" s="412"/>
      <c r="J15" s="412"/>
      <c r="K15" s="412"/>
      <c r="L15" s="412"/>
      <c r="M15" s="412"/>
      <c r="N15" s="412"/>
      <c r="O15" s="412"/>
      <c r="P15" s="412"/>
      <c r="Q15" s="412"/>
      <c r="R15" s="412"/>
      <c r="S15" s="412"/>
      <c r="T15" s="412"/>
      <c r="U15" s="412"/>
    </row>
    <row r="16" spans="1:21" x14ac:dyDescent="0.25">
      <c r="A16" s="513"/>
      <c r="B16" s="513"/>
      <c r="C16" s="513"/>
      <c r="D16" s="513"/>
      <c r="E16" s="513"/>
      <c r="F16" s="513"/>
      <c r="G16" s="513"/>
      <c r="H16" s="513"/>
      <c r="I16" s="513"/>
      <c r="J16" s="513"/>
      <c r="K16" s="513"/>
      <c r="L16" s="513"/>
      <c r="M16" s="513"/>
      <c r="N16" s="513"/>
      <c r="O16" s="513"/>
      <c r="P16" s="513"/>
      <c r="Q16" s="513"/>
      <c r="R16" s="513"/>
      <c r="S16" s="513"/>
      <c r="T16" s="513"/>
      <c r="U16" s="513"/>
    </row>
    <row r="17" spans="1:24" x14ac:dyDescent="0.25">
      <c r="A17" s="15"/>
      <c r="T17" s="15"/>
    </row>
    <row r="18" spans="1:24" x14ac:dyDescent="0.25">
      <c r="A18" s="514" t="s">
        <v>348</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15"/>
      <c r="B19" s="15"/>
      <c r="C19" s="15"/>
      <c r="D19" s="15"/>
      <c r="E19" s="15"/>
      <c r="F19" s="15"/>
      <c r="T19" s="15"/>
    </row>
    <row r="20" spans="1:24" ht="33" customHeight="1" x14ac:dyDescent="0.25">
      <c r="A20" s="519" t="s">
        <v>180</v>
      </c>
      <c r="B20" s="519" t="s">
        <v>179</v>
      </c>
      <c r="C20" s="507" t="s">
        <v>178</v>
      </c>
      <c r="D20" s="507"/>
      <c r="E20" s="522" t="s">
        <v>177</v>
      </c>
      <c r="F20" s="522"/>
      <c r="G20" s="523" t="s">
        <v>848</v>
      </c>
      <c r="H20" s="508" t="s">
        <v>688</v>
      </c>
      <c r="I20" s="509"/>
      <c r="J20" s="509"/>
      <c r="K20" s="509"/>
      <c r="L20" s="510" t="s">
        <v>689</v>
      </c>
      <c r="M20" s="511"/>
      <c r="N20" s="511"/>
      <c r="O20" s="511"/>
      <c r="P20" s="510" t="s">
        <v>690</v>
      </c>
      <c r="Q20" s="511"/>
      <c r="R20" s="511"/>
      <c r="S20" s="511"/>
      <c r="T20" s="515" t="s">
        <v>176</v>
      </c>
      <c r="U20" s="515"/>
      <c r="V20" s="22"/>
      <c r="W20" s="22"/>
      <c r="X20" s="22"/>
    </row>
    <row r="21" spans="1:24" ht="99.75" customHeight="1" x14ac:dyDescent="0.25">
      <c r="A21" s="520"/>
      <c r="B21" s="520"/>
      <c r="C21" s="507"/>
      <c r="D21" s="507"/>
      <c r="E21" s="522"/>
      <c r="F21" s="522"/>
      <c r="G21" s="524"/>
      <c r="H21" s="507" t="s">
        <v>1</v>
      </c>
      <c r="I21" s="507"/>
      <c r="J21" s="507" t="s">
        <v>8</v>
      </c>
      <c r="K21" s="507"/>
      <c r="L21" s="512" t="s">
        <v>1</v>
      </c>
      <c r="M21" s="512"/>
      <c r="N21" s="507" t="s">
        <v>8</v>
      </c>
      <c r="O21" s="507"/>
      <c r="P21" s="512" t="s">
        <v>1</v>
      </c>
      <c r="Q21" s="512"/>
      <c r="R21" s="507" t="s">
        <v>8</v>
      </c>
      <c r="S21" s="507"/>
      <c r="T21" s="515"/>
      <c r="U21" s="515"/>
    </row>
    <row r="22" spans="1:24" ht="89.25" customHeight="1" x14ac:dyDescent="0.25">
      <c r="A22" s="521"/>
      <c r="B22" s="521"/>
      <c r="C22" s="385" t="s">
        <v>1</v>
      </c>
      <c r="D22" s="385" t="s">
        <v>175</v>
      </c>
      <c r="E22" s="386" t="s">
        <v>691</v>
      </c>
      <c r="F22" s="386" t="s">
        <v>881</v>
      </c>
      <c r="G22" s="525"/>
      <c r="H22" s="387" t="s">
        <v>329</v>
      </c>
      <c r="I22" s="387" t="s">
        <v>330</v>
      </c>
      <c r="J22" s="387" t="s">
        <v>329</v>
      </c>
      <c r="K22" s="387" t="s">
        <v>330</v>
      </c>
      <c r="L22" s="296" t="s">
        <v>329</v>
      </c>
      <c r="M22" s="296" t="s">
        <v>330</v>
      </c>
      <c r="N22" s="296" t="s">
        <v>329</v>
      </c>
      <c r="O22" s="296" t="s">
        <v>330</v>
      </c>
      <c r="P22" s="296" t="s">
        <v>329</v>
      </c>
      <c r="Q22" s="296" t="s">
        <v>330</v>
      </c>
      <c r="R22" s="296" t="s">
        <v>329</v>
      </c>
      <c r="S22" s="296" t="s">
        <v>330</v>
      </c>
      <c r="T22" s="295" t="s">
        <v>1</v>
      </c>
      <c r="U22" s="295" t="s">
        <v>8</v>
      </c>
    </row>
    <row r="23" spans="1:24" ht="19.5" customHeight="1" x14ac:dyDescent="0.25">
      <c r="A23" s="297">
        <v>1</v>
      </c>
      <c r="B23" s="297">
        <v>2</v>
      </c>
      <c r="C23" s="297">
        <v>3</v>
      </c>
      <c r="D23" s="297">
        <v>4</v>
      </c>
      <c r="E23" s="297">
        <v>5</v>
      </c>
      <c r="F23" s="297">
        <v>6</v>
      </c>
      <c r="G23" s="297">
        <v>7</v>
      </c>
      <c r="H23" s="297">
        <v>8</v>
      </c>
      <c r="I23" s="297">
        <v>9</v>
      </c>
      <c r="J23" s="297">
        <v>10</v>
      </c>
      <c r="K23" s="297">
        <v>11</v>
      </c>
      <c r="L23" s="297">
        <v>12</v>
      </c>
      <c r="M23" s="297">
        <v>13</v>
      </c>
      <c r="N23" s="297">
        <v>14</v>
      </c>
      <c r="O23" s="297">
        <v>15</v>
      </c>
      <c r="P23" s="297">
        <v>16</v>
      </c>
      <c r="Q23" s="297">
        <v>17</v>
      </c>
      <c r="R23" s="297">
        <v>18</v>
      </c>
      <c r="S23" s="297">
        <v>19</v>
      </c>
      <c r="T23" s="297">
        <v>20</v>
      </c>
      <c r="U23" s="297">
        <v>21</v>
      </c>
    </row>
    <row r="24" spans="1:24" ht="47.25" customHeight="1" x14ac:dyDescent="0.25">
      <c r="A24" s="298">
        <v>1</v>
      </c>
      <c r="B24" s="299" t="s">
        <v>174</v>
      </c>
      <c r="C24" s="300">
        <f t="shared" ref="C24:S24" si="0">SUM(C25:C29)</f>
        <v>248.21883817</v>
      </c>
      <c r="D24" s="300">
        <f t="shared" si="0"/>
        <v>0</v>
      </c>
      <c r="E24" s="300">
        <f t="shared" si="0"/>
        <v>248.21883817</v>
      </c>
      <c r="F24" s="300">
        <f t="shared" si="0"/>
        <v>243.20762826999999</v>
      </c>
      <c r="G24" s="300">
        <f t="shared" si="0"/>
        <v>0</v>
      </c>
      <c r="H24" s="300">
        <f t="shared" si="0"/>
        <v>11.153102260000001</v>
      </c>
      <c r="I24" s="300">
        <f t="shared" si="0"/>
        <v>0</v>
      </c>
      <c r="J24" s="300">
        <f t="shared" si="0"/>
        <v>4.7402759000000003</v>
      </c>
      <c r="K24" s="300">
        <f t="shared" si="0"/>
        <v>0</v>
      </c>
      <c r="L24" s="300">
        <f t="shared" si="0"/>
        <v>6.0520649200000012</v>
      </c>
      <c r="M24" s="300">
        <f t="shared" ref="M24" si="1">SUM(M25:M29)</f>
        <v>0</v>
      </c>
      <c r="N24" s="300">
        <f t="shared" si="0"/>
        <v>0.27093400000000001</v>
      </c>
      <c r="O24" s="300">
        <f t="shared" si="0"/>
        <v>0</v>
      </c>
      <c r="P24" s="300">
        <v>115.93220408000001</v>
      </c>
      <c r="Q24" s="300">
        <f t="shared" si="0"/>
        <v>0</v>
      </c>
      <c r="R24" s="300">
        <f t="shared" si="0"/>
        <v>0</v>
      </c>
      <c r="S24" s="300">
        <f t="shared" si="0"/>
        <v>0</v>
      </c>
      <c r="T24" s="300">
        <f>H24+L24+P24</f>
        <v>133.13737126000001</v>
      </c>
      <c r="U24" s="301">
        <f>J24+N24+R24</f>
        <v>5.0112099000000008</v>
      </c>
    </row>
    <row r="25" spans="1:24" ht="24" customHeight="1" x14ac:dyDescent="0.25">
      <c r="A25" s="302" t="s">
        <v>173</v>
      </c>
      <c r="B25" s="303" t="s">
        <v>172</v>
      </c>
      <c r="C25" s="389">
        <v>0</v>
      </c>
      <c r="D25" s="300">
        <v>0</v>
      </c>
      <c r="E25" s="306">
        <f>C25</f>
        <v>0</v>
      </c>
      <c r="F25" s="306">
        <f>E25-G25-J25-N25</f>
        <v>0</v>
      </c>
      <c r="G25" s="304">
        <v>0</v>
      </c>
      <c r="H25" s="388">
        <v>0</v>
      </c>
      <c r="I25" s="304">
        <v>0</v>
      </c>
      <c r="J25" s="388">
        <v>0</v>
      </c>
      <c r="K25" s="304">
        <v>0</v>
      </c>
      <c r="L25" s="388">
        <v>0</v>
      </c>
      <c r="M25" s="388">
        <v>0</v>
      </c>
      <c r="N25" s="388">
        <v>0</v>
      </c>
      <c r="O25" s="388">
        <v>0</v>
      </c>
      <c r="P25" s="388">
        <v>0</v>
      </c>
      <c r="Q25" s="304">
        <v>0</v>
      </c>
      <c r="R25" s="304">
        <f>P25</f>
        <v>0</v>
      </c>
      <c r="S25" s="304">
        <v>0</v>
      </c>
      <c r="T25" s="300">
        <f t="shared" ref="T25:T64" si="2">H25+L25+P25</f>
        <v>0</v>
      </c>
      <c r="U25" s="301">
        <f t="shared" ref="U25:U64" si="3">J25+N25+R25</f>
        <v>0</v>
      </c>
    </row>
    <row r="26" spans="1:24" x14ac:dyDescent="0.25">
      <c r="A26" s="302" t="s">
        <v>171</v>
      </c>
      <c r="B26" s="303" t="s">
        <v>170</v>
      </c>
      <c r="C26" s="389">
        <v>0</v>
      </c>
      <c r="D26" s="300">
        <v>0</v>
      </c>
      <c r="E26" s="300">
        <f>C26</f>
        <v>0</v>
      </c>
      <c r="F26" s="306">
        <f t="shared" ref="F26:F64" si="4">E26-G26-J26-N26</f>
        <v>0</v>
      </c>
      <c r="G26" s="304">
        <v>0</v>
      </c>
      <c r="H26" s="388">
        <v>0</v>
      </c>
      <c r="I26" s="304">
        <v>0</v>
      </c>
      <c r="J26" s="388">
        <v>0</v>
      </c>
      <c r="K26" s="304">
        <v>0</v>
      </c>
      <c r="L26" s="388">
        <v>0</v>
      </c>
      <c r="M26" s="388">
        <v>0</v>
      </c>
      <c r="N26" s="388">
        <v>0</v>
      </c>
      <c r="O26" s="388">
        <v>0</v>
      </c>
      <c r="P26" s="388">
        <v>0</v>
      </c>
      <c r="Q26" s="304">
        <v>0</v>
      </c>
      <c r="R26" s="304">
        <f t="shared" ref="R26:R29" si="5">P26</f>
        <v>0</v>
      </c>
      <c r="S26" s="304">
        <v>0</v>
      </c>
      <c r="T26" s="300">
        <f t="shared" si="2"/>
        <v>0</v>
      </c>
      <c r="U26" s="301">
        <f t="shared" si="3"/>
        <v>0</v>
      </c>
    </row>
    <row r="27" spans="1:24" ht="31.5" x14ac:dyDescent="0.25">
      <c r="A27" s="302" t="s">
        <v>169</v>
      </c>
      <c r="B27" s="303" t="s">
        <v>311</v>
      </c>
      <c r="C27" s="389">
        <v>244.39517727</v>
      </c>
      <c r="D27" s="300">
        <v>0</v>
      </c>
      <c r="E27" s="300">
        <f>C27</f>
        <v>244.39517727</v>
      </c>
      <c r="F27" s="306">
        <f t="shared" si="4"/>
        <v>239.38396736999999</v>
      </c>
      <c r="G27" s="304">
        <v>0</v>
      </c>
      <c r="H27" s="388">
        <v>6.0348586299999996</v>
      </c>
      <c r="I27" s="304">
        <v>0</v>
      </c>
      <c r="J27" s="388">
        <v>4.7402759000000003</v>
      </c>
      <c r="K27" s="304">
        <v>0</v>
      </c>
      <c r="L27" s="388">
        <v>6.0520649200000012</v>
      </c>
      <c r="M27" s="388">
        <v>0</v>
      </c>
      <c r="N27" s="391">
        <v>0.27093400000000001</v>
      </c>
      <c r="O27" s="388">
        <v>0</v>
      </c>
      <c r="P27" s="388">
        <v>115.93220408000001</v>
      </c>
      <c r="Q27" s="304">
        <v>0</v>
      </c>
      <c r="R27" s="304">
        <v>0</v>
      </c>
      <c r="S27" s="304">
        <v>0</v>
      </c>
      <c r="T27" s="300">
        <f t="shared" si="2"/>
        <v>128.01912763000001</v>
      </c>
      <c r="U27" s="301">
        <f t="shared" si="3"/>
        <v>5.0112099000000008</v>
      </c>
    </row>
    <row r="28" spans="1:24" x14ac:dyDescent="0.25">
      <c r="A28" s="302" t="s">
        <v>168</v>
      </c>
      <c r="B28" s="303" t="s">
        <v>692</v>
      </c>
      <c r="C28" s="389">
        <v>0</v>
      </c>
      <c r="D28" s="300">
        <v>0</v>
      </c>
      <c r="E28" s="300">
        <f>C28</f>
        <v>0</v>
      </c>
      <c r="F28" s="306">
        <f t="shared" si="4"/>
        <v>0</v>
      </c>
      <c r="G28" s="304">
        <v>0</v>
      </c>
      <c r="H28" s="388">
        <v>0</v>
      </c>
      <c r="I28" s="304">
        <v>0</v>
      </c>
      <c r="J28" s="388">
        <v>0</v>
      </c>
      <c r="K28" s="304">
        <v>0</v>
      </c>
      <c r="L28" s="388">
        <v>0</v>
      </c>
      <c r="M28" s="388">
        <v>0</v>
      </c>
      <c r="N28" s="388">
        <v>0</v>
      </c>
      <c r="O28" s="388">
        <v>0</v>
      </c>
      <c r="P28" s="388">
        <v>0</v>
      </c>
      <c r="Q28" s="304">
        <v>0</v>
      </c>
      <c r="R28" s="304">
        <f t="shared" si="5"/>
        <v>0</v>
      </c>
      <c r="S28" s="304">
        <v>0</v>
      </c>
      <c r="T28" s="300">
        <f t="shared" si="2"/>
        <v>0</v>
      </c>
      <c r="U28" s="301">
        <f t="shared" si="3"/>
        <v>0</v>
      </c>
    </row>
    <row r="29" spans="1:24" x14ac:dyDescent="0.25">
      <c r="A29" s="302" t="s">
        <v>167</v>
      </c>
      <c r="B29" s="21" t="s">
        <v>166</v>
      </c>
      <c r="C29" s="390">
        <v>3.8236609000000001</v>
      </c>
      <c r="D29" s="300">
        <v>0</v>
      </c>
      <c r="E29" s="300">
        <f>C29</f>
        <v>3.8236609000000001</v>
      </c>
      <c r="F29" s="306">
        <f t="shared" si="4"/>
        <v>3.8236609000000001</v>
      </c>
      <c r="G29" s="304">
        <v>0</v>
      </c>
      <c r="H29" s="388">
        <v>5.1182436300000003</v>
      </c>
      <c r="I29" s="304">
        <v>0</v>
      </c>
      <c r="J29" s="388">
        <v>0</v>
      </c>
      <c r="K29" s="304">
        <v>0</v>
      </c>
      <c r="L29" s="388">
        <v>0</v>
      </c>
      <c r="M29" s="388">
        <v>0</v>
      </c>
      <c r="N29" s="388">
        <v>0</v>
      </c>
      <c r="O29" s="388">
        <v>0</v>
      </c>
      <c r="P29" s="388">
        <v>0</v>
      </c>
      <c r="Q29" s="304">
        <v>0</v>
      </c>
      <c r="R29" s="304">
        <f t="shared" si="5"/>
        <v>0</v>
      </c>
      <c r="S29" s="304">
        <v>0</v>
      </c>
      <c r="T29" s="300">
        <f t="shared" si="2"/>
        <v>5.1182436300000003</v>
      </c>
      <c r="U29" s="301">
        <f t="shared" si="3"/>
        <v>0</v>
      </c>
    </row>
    <row r="30" spans="1:24" s="47" customFormat="1" ht="47.25" x14ac:dyDescent="0.25">
      <c r="A30" s="298" t="s">
        <v>60</v>
      </c>
      <c r="B30" s="299" t="s">
        <v>165</v>
      </c>
      <c r="C30" s="300">
        <f t="shared" ref="C30:S30" si="6">SUM(C31:C34)</f>
        <v>207.70432241</v>
      </c>
      <c r="D30" s="300">
        <f t="shared" si="6"/>
        <v>0</v>
      </c>
      <c r="E30" s="300">
        <f t="shared" si="6"/>
        <v>207.70432241</v>
      </c>
      <c r="F30" s="300">
        <f t="shared" si="6"/>
        <v>201.59420462</v>
      </c>
      <c r="G30" s="300">
        <f t="shared" si="6"/>
        <v>0</v>
      </c>
      <c r="H30" s="300">
        <f t="shared" si="6"/>
        <v>5.8843394600000005</v>
      </c>
      <c r="I30" s="300">
        <f t="shared" si="6"/>
        <v>0</v>
      </c>
      <c r="J30" s="389">
        <f t="shared" ref="J30" si="7">SUM(J31:J34)</f>
        <v>5.8843394600000005</v>
      </c>
      <c r="K30" s="300">
        <f t="shared" si="6"/>
        <v>0</v>
      </c>
      <c r="L30" s="300">
        <f t="shared" si="6"/>
        <v>3.96456849</v>
      </c>
      <c r="M30" s="300">
        <f t="shared" ref="M30" si="8">SUM(M31:M34)</f>
        <v>0</v>
      </c>
      <c r="N30" s="300">
        <f t="shared" si="6"/>
        <v>0.22577833</v>
      </c>
      <c r="O30" s="300">
        <f t="shared" si="6"/>
        <v>0</v>
      </c>
      <c r="P30" s="300">
        <v>96.610170070000009</v>
      </c>
      <c r="Q30" s="300">
        <f t="shared" si="6"/>
        <v>0</v>
      </c>
      <c r="R30" s="300">
        <f t="shared" si="6"/>
        <v>0</v>
      </c>
      <c r="S30" s="300">
        <f t="shared" si="6"/>
        <v>0</v>
      </c>
      <c r="T30" s="300">
        <f t="shared" si="2"/>
        <v>106.45907802000001</v>
      </c>
      <c r="U30" s="301">
        <f t="shared" si="3"/>
        <v>6.1101177900000003</v>
      </c>
    </row>
    <row r="31" spans="1:24" x14ac:dyDescent="0.25">
      <c r="A31" s="298" t="s">
        <v>164</v>
      </c>
      <c r="B31" s="303" t="s">
        <v>163</v>
      </c>
      <c r="C31" s="300">
        <v>5.1182436300000003</v>
      </c>
      <c r="D31" s="300">
        <v>0</v>
      </c>
      <c r="E31" s="300">
        <f t="shared" ref="E31:E64" si="9">C31</f>
        <v>5.1182436300000003</v>
      </c>
      <c r="F31" s="306">
        <f t="shared" si="4"/>
        <v>0</v>
      </c>
      <c r="G31" s="304">
        <v>0</v>
      </c>
      <c r="H31" s="304">
        <v>5.1182436300000003</v>
      </c>
      <c r="I31" s="304">
        <v>0</v>
      </c>
      <c r="J31" s="388">
        <v>5.1182436300000003</v>
      </c>
      <c r="K31" s="304">
        <v>0</v>
      </c>
      <c r="L31" s="304">
        <v>0</v>
      </c>
      <c r="M31" s="304">
        <v>0</v>
      </c>
      <c r="N31" s="304">
        <v>0</v>
      </c>
      <c r="O31" s="304">
        <v>0</v>
      </c>
      <c r="P31" s="304">
        <v>0</v>
      </c>
      <c r="Q31" s="304">
        <v>0</v>
      </c>
      <c r="R31" s="304">
        <v>0</v>
      </c>
      <c r="S31" s="304">
        <v>0</v>
      </c>
      <c r="T31" s="300">
        <f t="shared" si="2"/>
        <v>5.1182436300000003</v>
      </c>
      <c r="U31" s="301">
        <f t="shared" si="3"/>
        <v>5.1182436300000003</v>
      </c>
    </row>
    <row r="32" spans="1:24" ht="31.5" x14ac:dyDescent="0.25">
      <c r="A32" s="298" t="s">
        <v>162</v>
      </c>
      <c r="B32" s="303" t="s">
        <v>161</v>
      </c>
      <c r="C32" s="300">
        <v>128.74061924</v>
      </c>
      <c r="D32" s="300">
        <v>0</v>
      </c>
      <c r="E32" s="300">
        <f t="shared" si="9"/>
        <v>128.74061924</v>
      </c>
      <c r="F32" s="306">
        <f t="shared" si="4"/>
        <v>128.74061924</v>
      </c>
      <c r="G32" s="304">
        <v>0</v>
      </c>
      <c r="H32" s="304">
        <v>0</v>
      </c>
      <c r="I32" s="304">
        <v>0</v>
      </c>
      <c r="J32" s="388">
        <v>0</v>
      </c>
      <c r="K32" s="304">
        <v>0</v>
      </c>
      <c r="L32" s="304">
        <v>0</v>
      </c>
      <c r="M32" s="304">
        <v>0</v>
      </c>
      <c r="N32" s="304">
        <v>0</v>
      </c>
      <c r="O32" s="304">
        <v>0</v>
      </c>
      <c r="P32" s="304">
        <v>62.86233386</v>
      </c>
      <c r="Q32" s="304">
        <v>0</v>
      </c>
      <c r="R32" s="304">
        <v>0</v>
      </c>
      <c r="S32" s="304">
        <v>0</v>
      </c>
      <c r="T32" s="300">
        <f t="shared" si="2"/>
        <v>62.86233386</v>
      </c>
      <c r="U32" s="301">
        <f t="shared" si="3"/>
        <v>0</v>
      </c>
    </row>
    <row r="33" spans="1:21" x14ac:dyDescent="0.25">
      <c r="A33" s="298" t="s">
        <v>160</v>
      </c>
      <c r="B33" s="303" t="s">
        <v>159</v>
      </c>
      <c r="C33" s="300">
        <v>60.60008654</v>
      </c>
      <c r="D33" s="300">
        <v>0</v>
      </c>
      <c r="E33" s="300">
        <f t="shared" si="9"/>
        <v>60.60008654</v>
      </c>
      <c r="F33" s="306">
        <f t="shared" si="4"/>
        <v>60.60008654</v>
      </c>
      <c r="G33" s="304">
        <v>0</v>
      </c>
      <c r="H33" s="304">
        <v>0</v>
      </c>
      <c r="I33" s="304">
        <v>0</v>
      </c>
      <c r="J33" s="388">
        <v>0</v>
      </c>
      <c r="K33" s="304">
        <v>0</v>
      </c>
      <c r="L33" s="304">
        <v>0</v>
      </c>
      <c r="M33" s="304">
        <v>0</v>
      </c>
      <c r="N33" s="304">
        <v>0</v>
      </c>
      <c r="O33" s="304">
        <v>0</v>
      </c>
      <c r="P33" s="304">
        <v>29.590217089999999</v>
      </c>
      <c r="Q33" s="304">
        <v>0</v>
      </c>
      <c r="R33" s="304">
        <v>0</v>
      </c>
      <c r="S33" s="304">
        <v>0</v>
      </c>
      <c r="T33" s="300">
        <f t="shared" si="2"/>
        <v>29.590217089999999</v>
      </c>
      <c r="U33" s="301">
        <f t="shared" si="3"/>
        <v>0</v>
      </c>
    </row>
    <row r="34" spans="1:21" x14ac:dyDescent="0.25">
      <c r="A34" s="298" t="s">
        <v>158</v>
      </c>
      <c r="B34" s="303" t="s">
        <v>157</v>
      </c>
      <c r="C34" s="300">
        <v>13.245373000000001</v>
      </c>
      <c r="D34" s="300">
        <v>0</v>
      </c>
      <c r="E34" s="300">
        <f t="shared" si="9"/>
        <v>13.245373000000001</v>
      </c>
      <c r="F34" s="306">
        <f t="shared" si="4"/>
        <v>12.253498840000001</v>
      </c>
      <c r="G34" s="304">
        <v>0</v>
      </c>
      <c r="H34" s="304">
        <v>0.76609583000000003</v>
      </c>
      <c r="I34" s="304">
        <v>0</v>
      </c>
      <c r="J34" s="388">
        <v>0.76609582999999992</v>
      </c>
      <c r="K34" s="304">
        <v>0</v>
      </c>
      <c r="L34" s="304">
        <v>3.96456849</v>
      </c>
      <c r="M34" s="304">
        <v>0</v>
      </c>
      <c r="N34" s="304">
        <v>0.22577833</v>
      </c>
      <c r="O34" s="304">
        <v>0</v>
      </c>
      <c r="P34" s="304">
        <v>4.1576191199999997</v>
      </c>
      <c r="Q34" s="304">
        <v>0</v>
      </c>
      <c r="R34" s="304">
        <v>0</v>
      </c>
      <c r="S34" s="304">
        <v>0</v>
      </c>
      <c r="T34" s="300">
        <f t="shared" si="2"/>
        <v>8.8882834399999986</v>
      </c>
      <c r="U34" s="301">
        <f t="shared" si="3"/>
        <v>0.99187415999999995</v>
      </c>
    </row>
    <row r="35" spans="1:21" s="47" customFormat="1" ht="31.5" x14ac:dyDescent="0.25">
      <c r="A35" s="298" t="s">
        <v>59</v>
      </c>
      <c r="B35" s="299" t="s">
        <v>156</v>
      </c>
      <c r="C35" s="300">
        <v>0</v>
      </c>
      <c r="D35" s="300">
        <v>0</v>
      </c>
      <c r="E35" s="306">
        <f t="shared" si="9"/>
        <v>0</v>
      </c>
      <c r="F35" s="306">
        <f t="shared" si="4"/>
        <v>0</v>
      </c>
      <c r="G35" s="300">
        <v>0</v>
      </c>
      <c r="H35" s="300">
        <v>0</v>
      </c>
      <c r="I35" s="300">
        <v>0</v>
      </c>
      <c r="J35" s="300">
        <v>0</v>
      </c>
      <c r="K35" s="300">
        <v>0</v>
      </c>
      <c r="L35" s="300">
        <v>0</v>
      </c>
      <c r="M35" s="300">
        <v>0</v>
      </c>
      <c r="N35" s="307">
        <v>0</v>
      </c>
      <c r="O35" s="300">
        <v>0</v>
      </c>
      <c r="P35" s="300">
        <v>0</v>
      </c>
      <c r="Q35" s="300">
        <v>0</v>
      </c>
      <c r="R35" s="300">
        <v>0</v>
      </c>
      <c r="S35" s="300">
        <v>0</v>
      </c>
      <c r="T35" s="300">
        <f t="shared" si="2"/>
        <v>0</v>
      </c>
      <c r="U35" s="301">
        <f t="shared" si="3"/>
        <v>0</v>
      </c>
    </row>
    <row r="36" spans="1:21" ht="31.5" x14ac:dyDescent="0.25">
      <c r="A36" s="302" t="s">
        <v>155</v>
      </c>
      <c r="B36" s="308" t="s">
        <v>154</v>
      </c>
      <c r="C36" s="309">
        <v>0</v>
      </c>
      <c r="D36" s="300">
        <v>0</v>
      </c>
      <c r="E36" s="300">
        <f t="shared" si="9"/>
        <v>0</v>
      </c>
      <c r="F36" s="306">
        <f t="shared" si="4"/>
        <v>0</v>
      </c>
      <c r="G36" s="304">
        <v>0</v>
      </c>
      <c r="H36" s="304">
        <v>0</v>
      </c>
      <c r="I36" s="304">
        <v>0</v>
      </c>
      <c r="J36" s="304">
        <v>0</v>
      </c>
      <c r="K36" s="304">
        <v>0</v>
      </c>
      <c r="L36" s="304">
        <v>0</v>
      </c>
      <c r="M36" s="304">
        <v>0</v>
      </c>
      <c r="N36" s="304">
        <v>0</v>
      </c>
      <c r="O36" s="304">
        <v>0</v>
      </c>
      <c r="P36" s="304">
        <v>0</v>
      </c>
      <c r="Q36" s="304">
        <v>0</v>
      </c>
      <c r="R36" s="304">
        <v>0</v>
      </c>
      <c r="S36" s="304">
        <v>0</v>
      </c>
      <c r="T36" s="300">
        <f t="shared" si="2"/>
        <v>0</v>
      </c>
      <c r="U36" s="301">
        <f t="shared" si="3"/>
        <v>0</v>
      </c>
    </row>
    <row r="37" spans="1:21" x14ac:dyDescent="0.25">
      <c r="A37" s="302" t="s">
        <v>153</v>
      </c>
      <c r="B37" s="308" t="s">
        <v>143</v>
      </c>
      <c r="C37" s="309">
        <v>1.96</v>
      </c>
      <c r="D37" s="300">
        <v>0</v>
      </c>
      <c r="E37" s="300">
        <f t="shared" si="9"/>
        <v>1.96</v>
      </c>
      <c r="F37" s="306">
        <f t="shared" si="4"/>
        <v>1.96</v>
      </c>
      <c r="G37" s="304">
        <v>0</v>
      </c>
      <c r="H37" s="304">
        <v>0</v>
      </c>
      <c r="I37" s="304">
        <v>0</v>
      </c>
      <c r="J37" s="304">
        <v>0</v>
      </c>
      <c r="K37" s="304">
        <v>0</v>
      </c>
      <c r="L37" s="304">
        <v>0</v>
      </c>
      <c r="M37" s="304">
        <v>0</v>
      </c>
      <c r="N37" s="305">
        <v>0</v>
      </c>
      <c r="O37" s="304">
        <v>0</v>
      </c>
      <c r="P37" s="304">
        <v>0</v>
      </c>
      <c r="Q37" s="304">
        <v>0</v>
      </c>
      <c r="R37" s="304">
        <v>0</v>
      </c>
      <c r="S37" s="304">
        <v>0</v>
      </c>
      <c r="T37" s="300">
        <f t="shared" si="2"/>
        <v>0</v>
      </c>
      <c r="U37" s="301">
        <f t="shared" si="3"/>
        <v>0</v>
      </c>
    </row>
    <row r="38" spans="1:21" x14ac:dyDescent="0.25">
      <c r="A38" s="302" t="s">
        <v>152</v>
      </c>
      <c r="B38" s="308" t="s">
        <v>141</v>
      </c>
      <c r="C38" s="309">
        <v>0</v>
      </c>
      <c r="D38" s="300">
        <v>0</v>
      </c>
      <c r="E38" s="300">
        <f t="shared" si="9"/>
        <v>0</v>
      </c>
      <c r="F38" s="306">
        <f t="shared" si="4"/>
        <v>0</v>
      </c>
      <c r="G38" s="304">
        <v>0</v>
      </c>
      <c r="H38" s="304">
        <v>0</v>
      </c>
      <c r="I38" s="304">
        <v>0</v>
      </c>
      <c r="J38" s="304">
        <v>0</v>
      </c>
      <c r="K38" s="304">
        <v>0</v>
      </c>
      <c r="L38" s="304">
        <v>0</v>
      </c>
      <c r="M38" s="304">
        <v>0</v>
      </c>
      <c r="N38" s="304">
        <v>0</v>
      </c>
      <c r="O38" s="304">
        <v>0</v>
      </c>
      <c r="P38" s="304">
        <v>0</v>
      </c>
      <c r="Q38" s="304">
        <v>0</v>
      </c>
      <c r="R38" s="304">
        <v>0</v>
      </c>
      <c r="S38" s="304">
        <v>0</v>
      </c>
      <c r="T38" s="300">
        <f t="shared" si="2"/>
        <v>0</v>
      </c>
      <c r="U38" s="301">
        <f t="shared" si="3"/>
        <v>0</v>
      </c>
    </row>
    <row r="39" spans="1:21" ht="31.5" x14ac:dyDescent="0.25">
      <c r="A39" s="302" t="s">
        <v>151</v>
      </c>
      <c r="B39" s="303" t="s">
        <v>139</v>
      </c>
      <c r="C39" s="300">
        <v>0</v>
      </c>
      <c r="D39" s="300">
        <v>0</v>
      </c>
      <c r="E39" s="300">
        <f t="shared" si="9"/>
        <v>0</v>
      </c>
      <c r="F39" s="306">
        <f t="shared" si="4"/>
        <v>0</v>
      </c>
      <c r="G39" s="304">
        <v>0</v>
      </c>
      <c r="H39" s="304">
        <v>0</v>
      </c>
      <c r="I39" s="304">
        <v>0</v>
      </c>
      <c r="J39" s="304">
        <v>0</v>
      </c>
      <c r="K39" s="304">
        <v>0</v>
      </c>
      <c r="L39" s="304">
        <v>0</v>
      </c>
      <c r="M39" s="304">
        <v>0</v>
      </c>
      <c r="N39" s="304">
        <v>0</v>
      </c>
      <c r="O39" s="304">
        <v>0</v>
      </c>
      <c r="P39" s="304">
        <v>0</v>
      </c>
      <c r="Q39" s="304">
        <v>0</v>
      </c>
      <c r="R39" s="304">
        <v>0</v>
      </c>
      <c r="S39" s="304">
        <v>0</v>
      </c>
      <c r="T39" s="300">
        <f t="shared" si="2"/>
        <v>0</v>
      </c>
      <c r="U39" s="301">
        <f t="shared" si="3"/>
        <v>0</v>
      </c>
    </row>
    <row r="40" spans="1:21" ht="31.5" x14ac:dyDescent="0.25">
      <c r="A40" s="302" t="s">
        <v>150</v>
      </c>
      <c r="B40" s="303" t="s">
        <v>137</v>
      </c>
      <c r="C40" s="300">
        <v>0</v>
      </c>
      <c r="D40" s="300">
        <v>0</v>
      </c>
      <c r="E40" s="300">
        <f t="shared" si="9"/>
        <v>0</v>
      </c>
      <c r="F40" s="306">
        <f t="shared" si="4"/>
        <v>0</v>
      </c>
      <c r="G40" s="304">
        <v>0</v>
      </c>
      <c r="H40" s="304">
        <v>0</v>
      </c>
      <c r="I40" s="304">
        <v>0</v>
      </c>
      <c r="J40" s="304">
        <v>0</v>
      </c>
      <c r="K40" s="304">
        <v>0</v>
      </c>
      <c r="L40" s="304">
        <v>0</v>
      </c>
      <c r="M40" s="304">
        <v>0</v>
      </c>
      <c r="N40" s="304">
        <v>0</v>
      </c>
      <c r="O40" s="304">
        <v>0</v>
      </c>
      <c r="P40" s="304">
        <v>0</v>
      </c>
      <c r="Q40" s="304">
        <v>0</v>
      </c>
      <c r="R40" s="304">
        <v>0</v>
      </c>
      <c r="S40" s="304">
        <v>0</v>
      </c>
      <c r="T40" s="300">
        <f t="shared" si="2"/>
        <v>0</v>
      </c>
      <c r="U40" s="301">
        <f t="shared" si="3"/>
        <v>0</v>
      </c>
    </row>
    <row r="41" spans="1:21" x14ac:dyDescent="0.25">
      <c r="A41" s="302" t="s">
        <v>149</v>
      </c>
      <c r="B41" s="303" t="s">
        <v>135</v>
      </c>
      <c r="C41" s="300">
        <v>28.733999999999998</v>
      </c>
      <c r="D41" s="300">
        <v>0</v>
      </c>
      <c r="E41" s="300">
        <f t="shared" si="9"/>
        <v>28.733999999999998</v>
      </c>
      <c r="F41" s="306">
        <f t="shared" si="4"/>
        <v>28.733999999999998</v>
      </c>
      <c r="G41" s="304">
        <v>0</v>
      </c>
      <c r="H41" s="304">
        <v>0</v>
      </c>
      <c r="I41" s="304">
        <v>0</v>
      </c>
      <c r="J41" s="304">
        <v>0</v>
      </c>
      <c r="K41" s="304">
        <v>0</v>
      </c>
      <c r="L41" s="304">
        <v>0</v>
      </c>
      <c r="M41" s="304">
        <v>0</v>
      </c>
      <c r="N41" s="304">
        <v>0</v>
      </c>
      <c r="O41" s="304">
        <v>0</v>
      </c>
      <c r="P41" s="304">
        <v>8.61</v>
      </c>
      <c r="Q41" s="304">
        <v>0</v>
      </c>
      <c r="R41" s="304">
        <v>0</v>
      </c>
      <c r="S41" s="304">
        <v>0</v>
      </c>
      <c r="T41" s="300">
        <f t="shared" si="2"/>
        <v>8.61</v>
      </c>
      <c r="U41" s="301">
        <f t="shared" si="3"/>
        <v>0</v>
      </c>
    </row>
    <row r="42" spans="1:21" ht="18.75" x14ac:dyDescent="0.25">
      <c r="A42" s="302" t="s">
        <v>148</v>
      </c>
      <c r="B42" s="308" t="s">
        <v>693</v>
      </c>
      <c r="C42" s="309">
        <v>0</v>
      </c>
      <c r="D42" s="300">
        <v>0</v>
      </c>
      <c r="E42" s="300">
        <f t="shared" si="9"/>
        <v>0</v>
      </c>
      <c r="F42" s="306">
        <f t="shared" si="4"/>
        <v>0</v>
      </c>
      <c r="G42" s="304">
        <v>0</v>
      </c>
      <c r="H42" s="304">
        <v>0</v>
      </c>
      <c r="I42" s="304">
        <v>0</v>
      </c>
      <c r="J42" s="304">
        <v>0</v>
      </c>
      <c r="K42" s="304">
        <v>0</v>
      </c>
      <c r="L42" s="304">
        <v>0</v>
      </c>
      <c r="M42" s="304">
        <v>0</v>
      </c>
      <c r="N42" s="304">
        <v>0</v>
      </c>
      <c r="O42" s="304">
        <v>0</v>
      </c>
      <c r="P42" s="304">
        <v>0</v>
      </c>
      <c r="Q42" s="304">
        <v>0</v>
      </c>
      <c r="R42" s="304">
        <v>0</v>
      </c>
      <c r="S42" s="304">
        <v>0</v>
      </c>
      <c r="T42" s="300">
        <f t="shared" si="2"/>
        <v>0</v>
      </c>
      <c r="U42" s="301">
        <f t="shared" si="3"/>
        <v>0</v>
      </c>
    </row>
    <row r="43" spans="1:21" s="47" customFormat="1" x14ac:dyDescent="0.25">
      <c r="A43" s="298" t="s">
        <v>58</v>
      </c>
      <c r="B43" s="299" t="s">
        <v>147</v>
      </c>
      <c r="C43" s="300">
        <v>0</v>
      </c>
      <c r="D43" s="300">
        <v>0</v>
      </c>
      <c r="E43" s="306">
        <f t="shared" si="9"/>
        <v>0</v>
      </c>
      <c r="F43" s="306">
        <f t="shared" si="4"/>
        <v>0</v>
      </c>
      <c r="G43" s="300">
        <v>0</v>
      </c>
      <c r="H43" s="300">
        <v>0</v>
      </c>
      <c r="I43" s="300">
        <v>0</v>
      </c>
      <c r="J43" s="300">
        <v>0</v>
      </c>
      <c r="K43" s="300">
        <v>0</v>
      </c>
      <c r="L43" s="300">
        <v>0</v>
      </c>
      <c r="M43" s="300">
        <v>0</v>
      </c>
      <c r="N43" s="307">
        <v>0</v>
      </c>
      <c r="O43" s="300">
        <v>0</v>
      </c>
      <c r="P43" s="300">
        <v>0</v>
      </c>
      <c r="Q43" s="300">
        <v>0</v>
      </c>
      <c r="R43" s="300">
        <v>0</v>
      </c>
      <c r="S43" s="300">
        <v>0</v>
      </c>
      <c r="T43" s="300">
        <f t="shared" si="2"/>
        <v>0</v>
      </c>
      <c r="U43" s="301">
        <f t="shared" si="3"/>
        <v>0</v>
      </c>
    </row>
    <row r="44" spans="1:21" x14ac:dyDescent="0.25">
      <c r="A44" s="302" t="s">
        <v>146</v>
      </c>
      <c r="B44" s="303" t="s">
        <v>145</v>
      </c>
      <c r="C44" s="300">
        <v>0</v>
      </c>
      <c r="D44" s="300">
        <v>0</v>
      </c>
      <c r="E44" s="300">
        <f t="shared" si="9"/>
        <v>0</v>
      </c>
      <c r="F44" s="306">
        <f t="shared" si="4"/>
        <v>0</v>
      </c>
      <c r="G44" s="304">
        <v>0</v>
      </c>
      <c r="H44" s="304">
        <v>0</v>
      </c>
      <c r="I44" s="304">
        <v>0</v>
      </c>
      <c r="J44" s="304">
        <v>0</v>
      </c>
      <c r="K44" s="304">
        <v>0</v>
      </c>
      <c r="L44" s="304">
        <v>0</v>
      </c>
      <c r="M44" s="304">
        <v>0</v>
      </c>
      <c r="N44" s="304">
        <v>0</v>
      </c>
      <c r="O44" s="304">
        <v>0</v>
      </c>
      <c r="P44" s="304">
        <v>0</v>
      </c>
      <c r="Q44" s="304">
        <v>0</v>
      </c>
      <c r="R44" s="304">
        <v>0</v>
      </c>
      <c r="S44" s="304">
        <v>0</v>
      </c>
      <c r="T44" s="300">
        <f t="shared" si="2"/>
        <v>0</v>
      </c>
      <c r="U44" s="301">
        <f t="shared" si="3"/>
        <v>0</v>
      </c>
    </row>
    <row r="45" spans="1:21" x14ac:dyDescent="0.25">
      <c r="A45" s="302" t="s">
        <v>144</v>
      </c>
      <c r="B45" s="303" t="s">
        <v>143</v>
      </c>
      <c r="C45" s="300">
        <v>1.96</v>
      </c>
      <c r="D45" s="300">
        <v>0</v>
      </c>
      <c r="E45" s="300">
        <f t="shared" si="9"/>
        <v>1.96</v>
      </c>
      <c r="F45" s="306">
        <f t="shared" si="4"/>
        <v>1.96</v>
      </c>
      <c r="G45" s="304">
        <v>0</v>
      </c>
      <c r="H45" s="304">
        <v>0</v>
      </c>
      <c r="I45" s="304">
        <v>0</v>
      </c>
      <c r="J45" s="304">
        <v>0</v>
      </c>
      <c r="K45" s="304">
        <v>0</v>
      </c>
      <c r="L45" s="304">
        <v>0</v>
      </c>
      <c r="M45" s="304">
        <v>0</v>
      </c>
      <c r="N45" s="305">
        <v>0</v>
      </c>
      <c r="O45" s="304">
        <v>0</v>
      </c>
      <c r="P45" s="304">
        <v>0</v>
      </c>
      <c r="Q45" s="304">
        <v>0</v>
      </c>
      <c r="R45" s="304">
        <v>0</v>
      </c>
      <c r="S45" s="304">
        <v>0</v>
      </c>
      <c r="T45" s="300">
        <f t="shared" si="2"/>
        <v>0</v>
      </c>
      <c r="U45" s="301">
        <f t="shared" si="3"/>
        <v>0</v>
      </c>
    </row>
    <row r="46" spans="1:21" x14ac:dyDescent="0.25">
      <c r="A46" s="302" t="s">
        <v>142</v>
      </c>
      <c r="B46" s="303" t="s">
        <v>141</v>
      </c>
      <c r="C46" s="300">
        <v>0</v>
      </c>
      <c r="D46" s="300">
        <v>0</v>
      </c>
      <c r="E46" s="300">
        <f t="shared" si="9"/>
        <v>0</v>
      </c>
      <c r="F46" s="306">
        <f t="shared" si="4"/>
        <v>0</v>
      </c>
      <c r="G46" s="304">
        <v>0</v>
      </c>
      <c r="H46" s="304">
        <v>0</v>
      </c>
      <c r="I46" s="304">
        <v>0</v>
      </c>
      <c r="J46" s="304">
        <v>0</v>
      </c>
      <c r="K46" s="304">
        <v>0</v>
      </c>
      <c r="L46" s="304">
        <v>0</v>
      </c>
      <c r="M46" s="304">
        <v>0</v>
      </c>
      <c r="N46" s="304">
        <v>0</v>
      </c>
      <c r="O46" s="304">
        <v>0</v>
      </c>
      <c r="P46" s="304">
        <v>0</v>
      </c>
      <c r="Q46" s="304">
        <v>0</v>
      </c>
      <c r="R46" s="304">
        <v>0</v>
      </c>
      <c r="S46" s="304">
        <v>0</v>
      </c>
      <c r="T46" s="300">
        <f t="shared" si="2"/>
        <v>0</v>
      </c>
      <c r="U46" s="301">
        <f t="shared" si="3"/>
        <v>0</v>
      </c>
    </row>
    <row r="47" spans="1:21" ht="31.5" x14ac:dyDescent="0.25">
      <c r="A47" s="302" t="s">
        <v>140</v>
      </c>
      <c r="B47" s="303" t="s">
        <v>139</v>
      </c>
      <c r="C47" s="300">
        <v>0</v>
      </c>
      <c r="D47" s="300">
        <v>0</v>
      </c>
      <c r="E47" s="300">
        <f t="shared" si="9"/>
        <v>0</v>
      </c>
      <c r="F47" s="306">
        <f t="shared" si="4"/>
        <v>0</v>
      </c>
      <c r="G47" s="304">
        <v>0</v>
      </c>
      <c r="H47" s="304">
        <v>0</v>
      </c>
      <c r="I47" s="304">
        <v>0</v>
      </c>
      <c r="J47" s="304">
        <v>0</v>
      </c>
      <c r="K47" s="304">
        <v>0</v>
      </c>
      <c r="L47" s="304">
        <v>0</v>
      </c>
      <c r="M47" s="304">
        <v>0</v>
      </c>
      <c r="N47" s="304">
        <v>0</v>
      </c>
      <c r="O47" s="304">
        <v>0</v>
      </c>
      <c r="P47" s="304">
        <v>0</v>
      </c>
      <c r="Q47" s="304">
        <v>0</v>
      </c>
      <c r="R47" s="304">
        <v>0</v>
      </c>
      <c r="S47" s="304">
        <v>0</v>
      </c>
      <c r="T47" s="300">
        <f t="shared" si="2"/>
        <v>0</v>
      </c>
      <c r="U47" s="301">
        <f t="shared" si="3"/>
        <v>0</v>
      </c>
    </row>
    <row r="48" spans="1:21" ht="31.5" x14ac:dyDescent="0.25">
      <c r="A48" s="302" t="s">
        <v>138</v>
      </c>
      <c r="B48" s="303" t="s">
        <v>137</v>
      </c>
      <c r="C48" s="300">
        <v>0</v>
      </c>
      <c r="D48" s="300">
        <v>0</v>
      </c>
      <c r="E48" s="300">
        <f t="shared" si="9"/>
        <v>0</v>
      </c>
      <c r="F48" s="306">
        <f t="shared" si="4"/>
        <v>0</v>
      </c>
      <c r="G48" s="304">
        <v>0</v>
      </c>
      <c r="H48" s="304">
        <v>0</v>
      </c>
      <c r="I48" s="304">
        <v>0</v>
      </c>
      <c r="J48" s="304">
        <v>0</v>
      </c>
      <c r="K48" s="304">
        <v>0</v>
      </c>
      <c r="L48" s="304">
        <v>0</v>
      </c>
      <c r="M48" s="304">
        <v>0</v>
      </c>
      <c r="N48" s="304">
        <v>0</v>
      </c>
      <c r="O48" s="304">
        <v>0</v>
      </c>
      <c r="P48" s="304">
        <v>0</v>
      </c>
      <c r="Q48" s="304">
        <v>0</v>
      </c>
      <c r="R48" s="304">
        <v>0</v>
      </c>
      <c r="S48" s="304">
        <v>0</v>
      </c>
      <c r="T48" s="300">
        <f t="shared" si="2"/>
        <v>0</v>
      </c>
      <c r="U48" s="301">
        <f t="shared" si="3"/>
        <v>0</v>
      </c>
    </row>
    <row r="49" spans="1:21" x14ac:dyDescent="0.25">
      <c r="A49" s="302" t="s">
        <v>136</v>
      </c>
      <c r="B49" s="303" t="s">
        <v>135</v>
      </c>
      <c r="C49" s="300">
        <v>28.733999999999998</v>
      </c>
      <c r="D49" s="300">
        <v>0</v>
      </c>
      <c r="E49" s="300">
        <f t="shared" si="9"/>
        <v>28.733999999999998</v>
      </c>
      <c r="F49" s="306">
        <f t="shared" si="4"/>
        <v>28.733999999999998</v>
      </c>
      <c r="G49" s="304">
        <v>0</v>
      </c>
      <c r="H49" s="304">
        <v>0</v>
      </c>
      <c r="I49" s="304">
        <v>0</v>
      </c>
      <c r="J49" s="304">
        <v>0</v>
      </c>
      <c r="K49" s="304">
        <v>0</v>
      </c>
      <c r="L49" s="304">
        <v>0</v>
      </c>
      <c r="M49" s="304">
        <v>0</v>
      </c>
      <c r="N49" s="304">
        <v>0</v>
      </c>
      <c r="O49" s="304">
        <v>0</v>
      </c>
      <c r="P49" s="304">
        <v>8.61</v>
      </c>
      <c r="Q49" s="304">
        <v>0</v>
      </c>
      <c r="R49" s="304">
        <v>0</v>
      </c>
      <c r="S49" s="304">
        <v>0</v>
      </c>
      <c r="T49" s="300">
        <f t="shared" si="2"/>
        <v>8.61</v>
      </c>
      <c r="U49" s="301">
        <f t="shared" si="3"/>
        <v>0</v>
      </c>
    </row>
    <row r="50" spans="1:21" ht="18.75" x14ac:dyDescent="0.25">
      <c r="A50" s="302" t="s">
        <v>134</v>
      </c>
      <c r="B50" s="308" t="s">
        <v>693</v>
      </c>
      <c r="C50" s="300">
        <v>0</v>
      </c>
      <c r="D50" s="300">
        <v>0</v>
      </c>
      <c r="E50" s="300">
        <f t="shared" si="9"/>
        <v>0</v>
      </c>
      <c r="F50" s="306">
        <f t="shared" si="4"/>
        <v>0</v>
      </c>
      <c r="G50" s="304">
        <v>0</v>
      </c>
      <c r="H50" s="304">
        <v>0</v>
      </c>
      <c r="I50" s="304">
        <v>0</v>
      </c>
      <c r="J50" s="304">
        <v>0</v>
      </c>
      <c r="K50" s="304">
        <v>0</v>
      </c>
      <c r="L50" s="304">
        <v>0</v>
      </c>
      <c r="M50" s="304">
        <v>0</v>
      </c>
      <c r="N50" s="304">
        <v>0</v>
      </c>
      <c r="O50" s="304">
        <v>0</v>
      </c>
      <c r="P50" s="304">
        <v>0</v>
      </c>
      <c r="Q50" s="304">
        <v>0</v>
      </c>
      <c r="R50" s="304">
        <v>0</v>
      </c>
      <c r="S50" s="304">
        <v>0</v>
      </c>
      <c r="T50" s="300">
        <f t="shared" si="2"/>
        <v>0</v>
      </c>
      <c r="U50" s="301">
        <f t="shared" si="3"/>
        <v>0</v>
      </c>
    </row>
    <row r="51" spans="1:21" s="47" customFormat="1" ht="35.25" customHeight="1" x14ac:dyDescent="0.25">
      <c r="A51" s="298" t="s">
        <v>56</v>
      </c>
      <c r="B51" s="299" t="s">
        <v>133</v>
      </c>
      <c r="C51" s="300">
        <v>0</v>
      </c>
      <c r="D51" s="300">
        <v>0</v>
      </c>
      <c r="E51" s="306">
        <f t="shared" si="9"/>
        <v>0</v>
      </c>
      <c r="F51" s="306">
        <f t="shared" si="4"/>
        <v>0</v>
      </c>
      <c r="G51" s="300">
        <v>0</v>
      </c>
      <c r="H51" s="300">
        <v>0</v>
      </c>
      <c r="I51" s="300">
        <v>0</v>
      </c>
      <c r="J51" s="300">
        <v>0</v>
      </c>
      <c r="K51" s="300">
        <v>0</v>
      </c>
      <c r="L51" s="300">
        <v>0</v>
      </c>
      <c r="M51" s="300">
        <v>0</v>
      </c>
      <c r="N51" s="307">
        <v>0</v>
      </c>
      <c r="O51" s="300">
        <v>0</v>
      </c>
      <c r="P51" s="300">
        <v>0</v>
      </c>
      <c r="Q51" s="300">
        <v>0</v>
      </c>
      <c r="R51" s="300">
        <v>0</v>
      </c>
      <c r="S51" s="300">
        <v>0</v>
      </c>
      <c r="T51" s="300">
        <f t="shared" si="2"/>
        <v>0</v>
      </c>
      <c r="U51" s="301">
        <f t="shared" si="3"/>
        <v>0</v>
      </c>
    </row>
    <row r="52" spans="1:21" x14ac:dyDescent="0.25">
      <c r="A52" s="302" t="s">
        <v>132</v>
      </c>
      <c r="B52" s="303" t="s">
        <v>131</v>
      </c>
      <c r="C52" s="300">
        <f>C30</f>
        <v>207.70432241</v>
      </c>
      <c r="D52" s="300">
        <v>0</v>
      </c>
      <c r="E52" s="300">
        <f t="shared" si="9"/>
        <v>207.70432241</v>
      </c>
      <c r="F52" s="306">
        <f t="shared" si="4"/>
        <v>207.70432241</v>
      </c>
      <c r="G52" s="304">
        <v>0</v>
      </c>
      <c r="H52" s="304">
        <v>0</v>
      </c>
      <c r="I52" s="304">
        <v>0</v>
      </c>
      <c r="J52" s="304">
        <v>0</v>
      </c>
      <c r="K52" s="304">
        <v>0</v>
      </c>
      <c r="L52" s="304">
        <v>0</v>
      </c>
      <c r="M52" s="304">
        <v>0</v>
      </c>
      <c r="N52" s="304">
        <v>0</v>
      </c>
      <c r="O52" s="304">
        <v>0</v>
      </c>
      <c r="P52" s="304">
        <v>60.062274700000003</v>
      </c>
      <c r="Q52" s="304">
        <v>0</v>
      </c>
      <c r="R52" s="304">
        <v>0</v>
      </c>
      <c r="S52" s="304">
        <v>0</v>
      </c>
      <c r="T52" s="300">
        <f t="shared" si="2"/>
        <v>60.062274700000003</v>
      </c>
      <c r="U52" s="301">
        <f t="shared" si="3"/>
        <v>0</v>
      </c>
    </row>
    <row r="53" spans="1:21" x14ac:dyDescent="0.25">
      <c r="A53" s="302" t="s">
        <v>130</v>
      </c>
      <c r="B53" s="303" t="s">
        <v>124</v>
      </c>
      <c r="C53" s="300">
        <v>0</v>
      </c>
      <c r="D53" s="300">
        <v>0</v>
      </c>
      <c r="E53" s="300">
        <f t="shared" si="9"/>
        <v>0</v>
      </c>
      <c r="F53" s="306">
        <f t="shared" si="4"/>
        <v>0</v>
      </c>
      <c r="G53" s="304">
        <v>0</v>
      </c>
      <c r="H53" s="304">
        <v>0</v>
      </c>
      <c r="I53" s="304">
        <v>0</v>
      </c>
      <c r="J53" s="304">
        <v>0</v>
      </c>
      <c r="K53" s="304">
        <v>0</v>
      </c>
      <c r="L53" s="304">
        <v>0</v>
      </c>
      <c r="M53" s="304">
        <v>0</v>
      </c>
      <c r="N53" s="305">
        <v>0</v>
      </c>
      <c r="O53" s="304">
        <v>0</v>
      </c>
      <c r="P53" s="304">
        <v>0</v>
      </c>
      <c r="Q53" s="304">
        <v>0</v>
      </c>
      <c r="R53" s="304">
        <v>0</v>
      </c>
      <c r="S53" s="304">
        <v>0</v>
      </c>
      <c r="T53" s="300">
        <f t="shared" si="2"/>
        <v>0</v>
      </c>
      <c r="U53" s="301">
        <f t="shared" si="3"/>
        <v>0</v>
      </c>
    </row>
    <row r="54" spans="1:21" x14ac:dyDescent="0.25">
      <c r="A54" s="302" t="s">
        <v>129</v>
      </c>
      <c r="B54" s="308" t="s">
        <v>123</v>
      </c>
      <c r="C54" s="309">
        <v>1.96</v>
      </c>
      <c r="D54" s="300">
        <v>0</v>
      </c>
      <c r="E54" s="300">
        <f t="shared" si="9"/>
        <v>1.96</v>
      </c>
      <c r="F54" s="306">
        <f t="shared" si="4"/>
        <v>1.96</v>
      </c>
      <c r="G54" s="304">
        <v>0</v>
      </c>
      <c r="H54" s="304">
        <v>0</v>
      </c>
      <c r="I54" s="304">
        <v>0</v>
      </c>
      <c r="J54" s="304">
        <v>0</v>
      </c>
      <c r="K54" s="304">
        <v>0</v>
      </c>
      <c r="L54" s="304">
        <v>0</v>
      </c>
      <c r="M54" s="304">
        <v>0</v>
      </c>
      <c r="N54" s="304">
        <v>0</v>
      </c>
      <c r="O54" s="304">
        <v>0</v>
      </c>
      <c r="P54" s="304">
        <v>0</v>
      </c>
      <c r="Q54" s="304">
        <v>0</v>
      </c>
      <c r="R54" s="304">
        <v>0</v>
      </c>
      <c r="S54" s="304">
        <v>0</v>
      </c>
      <c r="T54" s="300">
        <f t="shared" si="2"/>
        <v>0</v>
      </c>
      <c r="U54" s="301">
        <f t="shared" si="3"/>
        <v>0</v>
      </c>
    </row>
    <row r="55" spans="1:21" x14ac:dyDescent="0.25">
      <c r="A55" s="302" t="s">
        <v>128</v>
      </c>
      <c r="B55" s="308" t="s">
        <v>122</v>
      </c>
      <c r="C55" s="309">
        <v>0</v>
      </c>
      <c r="D55" s="300">
        <v>0</v>
      </c>
      <c r="E55" s="300">
        <f t="shared" si="9"/>
        <v>0</v>
      </c>
      <c r="F55" s="306">
        <f t="shared" si="4"/>
        <v>0</v>
      </c>
      <c r="G55" s="304">
        <v>0</v>
      </c>
      <c r="H55" s="304">
        <v>0</v>
      </c>
      <c r="I55" s="304">
        <v>0</v>
      </c>
      <c r="J55" s="304">
        <v>0</v>
      </c>
      <c r="K55" s="304">
        <v>0</v>
      </c>
      <c r="L55" s="304">
        <v>0</v>
      </c>
      <c r="M55" s="304">
        <v>0</v>
      </c>
      <c r="N55" s="304">
        <v>0</v>
      </c>
      <c r="O55" s="304">
        <v>0</v>
      </c>
      <c r="P55" s="304">
        <v>0</v>
      </c>
      <c r="Q55" s="304">
        <v>0</v>
      </c>
      <c r="R55" s="304">
        <v>0</v>
      </c>
      <c r="S55" s="304">
        <v>0</v>
      </c>
      <c r="T55" s="300">
        <f t="shared" si="2"/>
        <v>0</v>
      </c>
      <c r="U55" s="301">
        <f t="shared" si="3"/>
        <v>0</v>
      </c>
    </row>
    <row r="56" spans="1:21" x14ac:dyDescent="0.25">
      <c r="A56" s="302" t="s">
        <v>127</v>
      </c>
      <c r="B56" s="308" t="s">
        <v>121</v>
      </c>
      <c r="C56" s="309">
        <v>28.733999999999998</v>
      </c>
      <c r="D56" s="300">
        <v>0</v>
      </c>
      <c r="E56" s="300">
        <f t="shared" si="9"/>
        <v>28.733999999999998</v>
      </c>
      <c r="F56" s="306">
        <f t="shared" si="4"/>
        <v>28.733999999999998</v>
      </c>
      <c r="G56" s="304">
        <v>0</v>
      </c>
      <c r="H56" s="304">
        <v>0</v>
      </c>
      <c r="I56" s="304">
        <v>0</v>
      </c>
      <c r="J56" s="304">
        <v>0</v>
      </c>
      <c r="K56" s="304">
        <v>0</v>
      </c>
      <c r="L56" s="304">
        <v>0</v>
      </c>
      <c r="M56" s="304">
        <v>0</v>
      </c>
      <c r="N56" s="304">
        <v>0</v>
      </c>
      <c r="O56" s="304">
        <v>0</v>
      </c>
      <c r="P56" s="304">
        <v>8.61</v>
      </c>
      <c r="Q56" s="304">
        <v>0</v>
      </c>
      <c r="R56" s="304">
        <v>0</v>
      </c>
      <c r="S56" s="304">
        <v>0</v>
      </c>
      <c r="T56" s="300">
        <f t="shared" si="2"/>
        <v>8.61</v>
      </c>
      <c r="U56" s="301">
        <f t="shared" si="3"/>
        <v>0</v>
      </c>
    </row>
    <row r="57" spans="1:21" ht="18.75" x14ac:dyDescent="0.25">
      <c r="A57" s="302" t="s">
        <v>126</v>
      </c>
      <c r="B57" s="308" t="s">
        <v>694</v>
      </c>
      <c r="C57" s="309">
        <v>0</v>
      </c>
      <c r="D57" s="300">
        <v>0</v>
      </c>
      <c r="E57" s="300">
        <f t="shared" si="9"/>
        <v>0</v>
      </c>
      <c r="F57" s="306">
        <f t="shared" si="4"/>
        <v>0</v>
      </c>
      <c r="G57" s="304">
        <v>0</v>
      </c>
      <c r="H57" s="304">
        <v>0</v>
      </c>
      <c r="I57" s="304">
        <v>0</v>
      </c>
      <c r="J57" s="304">
        <v>0</v>
      </c>
      <c r="K57" s="304">
        <v>0</v>
      </c>
      <c r="L57" s="304">
        <v>0</v>
      </c>
      <c r="M57" s="304">
        <v>0</v>
      </c>
      <c r="N57" s="304">
        <v>0</v>
      </c>
      <c r="O57" s="304">
        <v>0</v>
      </c>
      <c r="P57" s="304">
        <v>0</v>
      </c>
      <c r="Q57" s="304">
        <v>0</v>
      </c>
      <c r="R57" s="304">
        <v>0</v>
      </c>
      <c r="S57" s="304">
        <v>0</v>
      </c>
      <c r="T57" s="300">
        <f t="shared" si="2"/>
        <v>0</v>
      </c>
      <c r="U57" s="301">
        <f t="shared" si="3"/>
        <v>0</v>
      </c>
    </row>
    <row r="58" spans="1:21" s="47" customFormat="1" ht="36.75" customHeight="1" x14ac:dyDescent="0.25">
      <c r="A58" s="298" t="s">
        <v>55</v>
      </c>
      <c r="B58" s="310" t="s">
        <v>199</v>
      </c>
      <c r="C58" s="309">
        <v>0</v>
      </c>
      <c r="D58" s="300">
        <v>0</v>
      </c>
      <c r="E58" s="306">
        <f t="shared" si="9"/>
        <v>0</v>
      </c>
      <c r="F58" s="306">
        <f t="shared" si="4"/>
        <v>0</v>
      </c>
      <c r="G58" s="300">
        <v>0</v>
      </c>
      <c r="H58" s="300">
        <v>0</v>
      </c>
      <c r="I58" s="300">
        <v>0</v>
      </c>
      <c r="J58" s="300">
        <v>0</v>
      </c>
      <c r="K58" s="300">
        <v>0</v>
      </c>
      <c r="L58" s="300">
        <v>0</v>
      </c>
      <c r="M58" s="300">
        <v>0</v>
      </c>
      <c r="N58" s="307">
        <v>0</v>
      </c>
      <c r="O58" s="300">
        <v>0</v>
      </c>
      <c r="P58" s="300">
        <v>0</v>
      </c>
      <c r="Q58" s="300">
        <v>0</v>
      </c>
      <c r="R58" s="300">
        <v>0</v>
      </c>
      <c r="S58" s="300">
        <v>0</v>
      </c>
      <c r="T58" s="300">
        <f t="shared" si="2"/>
        <v>0</v>
      </c>
      <c r="U58" s="301">
        <f t="shared" si="3"/>
        <v>0</v>
      </c>
    </row>
    <row r="59" spans="1:21" s="47" customFormat="1" x14ac:dyDescent="0.25">
      <c r="A59" s="298" t="s">
        <v>53</v>
      </c>
      <c r="B59" s="299" t="s">
        <v>125</v>
      </c>
      <c r="C59" s="300">
        <v>0</v>
      </c>
      <c r="D59" s="300">
        <v>0</v>
      </c>
      <c r="E59" s="306">
        <f t="shared" si="9"/>
        <v>0</v>
      </c>
      <c r="F59" s="306">
        <f t="shared" si="4"/>
        <v>0</v>
      </c>
      <c r="G59" s="300">
        <v>0</v>
      </c>
      <c r="H59" s="300">
        <v>0</v>
      </c>
      <c r="I59" s="300">
        <v>0</v>
      </c>
      <c r="J59" s="300">
        <v>0</v>
      </c>
      <c r="K59" s="300">
        <v>0</v>
      </c>
      <c r="L59" s="300">
        <v>0</v>
      </c>
      <c r="M59" s="300">
        <v>0</v>
      </c>
      <c r="N59" s="307">
        <v>0</v>
      </c>
      <c r="O59" s="300">
        <v>0</v>
      </c>
      <c r="P59" s="300">
        <v>0</v>
      </c>
      <c r="Q59" s="300">
        <v>0</v>
      </c>
      <c r="R59" s="300">
        <v>0</v>
      </c>
      <c r="S59" s="300">
        <v>0</v>
      </c>
      <c r="T59" s="300">
        <f t="shared" si="2"/>
        <v>0</v>
      </c>
      <c r="U59" s="301">
        <f t="shared" si="3"/>
        <v>0</v>
      </c>
    </row>
    <row r="60" spans="1:21" x14ac:dyDescent="0.25">
      <c r="A60" s="302" t="s">
        <v>193</v>
      </c>
      <c r="B60" s="311" t="s">
        <v>145</v>
      </c>
      <c r="C60" s="312">
        <v>0</v>
      </c>
      <c r="D60" s="300">
        <v>0</v>
      </c>
      <c r="E60" s="300">
        <f t="shared" si="9"/>
        <v>0</v>
      </c>
      <c r="F60" s="306">
        <f t="shared" si="4"/>
        <v>0</v>
      </c>
      <c r="G60" s="304">
        <v>0</v>
      </c>
      <c r="H60" s="304">
        <v>0</v>
      </c>
      <c r="I60" s="304">
        <v>0</v>
      </c>
      <c r="J60" s="304">
        <v>0</v>
      </c>
      <c r="K60" s="304">
        <v>0</v>
      </c>
      <c r="L60" s="304">
        <v>0</v>
      </c>
      <c r="M60" s="304">
        <v>0</v>
      </c>
      <c r="N60" s="304">
        <v>0</v>
      </c>
      <c r="O60" s="304">
        <v>0</v>
      </c>
      <c r="P60" s="304">
        <v>0</v>
      </c>
      <c r="Q60" s="304">
        <v>0</v>
      </c>
      <c r="R60" s="304">
        <v>0</v>
      </c>
      <c r="S60" s="304">
        <v>0</v>
      </c>
      <c r="T60" s="300">
        <f t="shared" si="2"/>
        <v>0</v>
      </c>
      <c r="U60" s="301">
        <f t="shared" si="3"/>
        <v>0</v>
      </c>
    </row>
    <row r="61" spans="1:21" x14ac:dyDescent="0.25">
      <c r="A61" s="302" t="s">
        <v>194</v>
      </c>
      <c r="B61" s="311" t="s">
        <v>143</v>
      </c>
      <c r="C61" s="312">
        <v>1.33</v>
      </c>
      <c r="D61" s="300">
        <v>0</v>
      </c>
      <c r="E61" s="300">
        <f t="shared" si="9"/>
        <v>1.33</v>
      </c>
      <c r="F61" s="306">
        <f t="shared" si="4"/>
        <v>1.33</v>
      </c>
      <c r="G61" s="304">
        <v>0</v>
      </c>
      <c r="H61" s="304">
        <v>0</v>
      </c>
      <c r="I61" s="304">
        <v>0</v>
      </c>
      <c r="J61" s="304">
        <v>0</v>
      </c>
      <c r="K61" s="304">
        <v>0</v>
      </c>
      <c r="L61" s="304">
        <v>0</v>
      </c>
      <c r="M61" s="304">
        <v>0</v>
      </c>
      <c r="N61" s="304">
        <v>0</v>
      </c>
      <c r="O61" s="304">
        <v>0</v>
      </c>
      <c r="P61" s="304">
        <v>0</v>
      </c>
      <c r="Q61" s="304">
        <v>0</v>
      </c>
      <c r="R61" s="304">
        <v>0</v>
      </c>
      <c r="S61" s="304">
        <v>0</v>
      </c>
      <c r="T61" s="300">
        <f t="shared" si="2"/>
        <v>0</v>
      </c>
      <c r="U61" s="301">
        <f t="shared" si="3"/>
        <v>0</v>
      </c>
    </row>
    <row r="62" spans="1:21" x14ac:dyDescent="0.25">
      <c r="A62" s="302" t="s">
        <v>195</v>
      </c>
      <c r="B62" s="311" t="s">
        <v>141</v>
      </c>
      <c r="C62" s="312">
        <v>0</v>
      </c>
      <c r="D62" s="300">
        <v>0</v>
      </c>
      <c r="E62" s="300">
        <f t="shared" si="9"/>
        <v>0</v>
      </c>
      <c r="F62" s="306">
        <f t="shared" si="4"/>
        <v>0</v>
      </c>
      <c r="G62" s="304">
        <v>0</v>
      </c>
      <c r="H62" s="304">
        <v>0</v>
      </c>
      <c r="I62" s="304">
        <v>0</v>
      </c>
      <c r="J62" s="304">
        <v>0</v>
      </c>
      <c r="K62" s="304">
        <v>0</v>
      </c>
      <c r="L62" s="304">
        <v>0</v>
      </c>
      <c r="M62" s="304">
        <v>0</v>
      </c>
      <c r="N62" s="304">
        <v>0</v>
      </c>
      <c r="O62" s="304">
        <v>0</v>
      </c>
      <c r="P62" s="304">
        <v>0</v>
      </c>
      <c r="Q62" s="304">
        <v>0</v>
      </c>
      <c r="R62" s="304">
        <v>0</v>
      </c>
      <c r="S62" s="304">
        <v>0</v>
      </c>
      <c r="T62" s="300">
        <f t="shared" si="2"/>
        <v>0</v>
      </c>
      <c r="U62" s="301">
        <f t="shared" si="3"/>
        <v>0</v>
      </c>
    </row>
    <row r="63" spans="1:21" x14ac:dyDescent="0.25">
      <c r="A63" s="302" t="s">
        <v>196</v>
      </c>
      <c r="B63" s="311" t="s">
        <v>198</v>
      </c>
      <c r="C63" s="312">
        <v>18.906000000000002</v>
      </c>
      <c r="D63" s="300">
        <v>0</v>
      </c>
      <c r="E63" s="300">
        <f t="shared" si="9"/>
        <v>18.906000000000002</v>
      </c>
      <c r="F63" s="306">
        <f t="shared" si="4"/>
        <v>18.906000000000002</v>
      </c>
      <c r="G63" s="304">
        <v>0</v>
      </c>
      <c r="H63" s="304">
        <v>0</v>
      </c>
      <c r="I63" s="304">
        <v>0</v>
      </c>
      <c r="J63" s="304">
        <v>0</v>
      </c>
      <c r="K63" s="304">
        <v>0</v>
      </c>
      <c r="L63" s="304">
        <v>0</v>
      </c>
      <c r="M63" s="304">
        <v>0</v>
      </c>
      <c r="N63" s="304">
        <v>0</v>
      </c>
      <c r="O63" s="304">
        <v>0</v>
      </c>
      <c r="P63" s="304">
        <v>3.7810000000000001</v>
      </c>
      <c r="Q63" s="304">
        <v>0</v>
      </c>
      <c r="R63" s="304">
        <v>0</v>
      </c>
      <c r="S63" s="304">
        <v>0</v>
      </c>
      <c r="T63" s="300">
        <f t="shared" si="2"/>
        <v>3.7810000000000001</v>
      </c>
      <c r="U63" s="301">
        <f t="shared" si="3"/>
        <v>0</v>
      </c>
    </row>
    <row r="64" spans="1:21" ht="18.75" x14ac:dyDescent="0.25">
      <c r="A64" s="302" t="s">
        <v>197</v>
      </c>
      <c r="B64" s="308" t="s">
        <v>694</v>
      </c>
      <c r="C64" s="309">
        <v>0</v>
      </c>
      <c r="D64" s="300">
        <v>0</v>
      </c>
      <c r="E64" s="300">
        <f t="shared" si="9"/>
        <v>0</v>
      </c>
      <c r="F64" s="306">
        <f t="shared" si="4"/>
        <v>0</v>
      </c>
      <c r="G64" s="304">
        <v>0</v>
      </c>
      <c r="H64" s="304">
        <v>0</v>
      </c>
      <c r="I64" s="304">
        <v>0</v>
      </c>
      <c r="J64" s="304">
        <v>0</v>
      </c>
      <c r="K64" s="304">
        <v>0</v>
      </c>
      <c r="L64" s="304">
        <v>0</v>
      </c>
      <c r="M64" s="304">
        <v>0</v>
      </c>
      <c r="N64" s="304">
        <v>0</v>
      </c>
      <c r="O64" s="304">
        <v>0</v>
      </c>
      <c r="P64" s="304">
        <v>0</v>
      </c>
      <c r="Q64" s="304">
        <v>0</v>
      </c>
      <c r="R64" s="304">
        <v>0</v>
      </c>
      <c r="S64" s="304">
        <v>0</v>
      </c>
      <c r="T64" s="300">
        <f t="shared" si="2"/>
        <v>0</v>
      </c>
      <c r="U64" s="301">
        <f t="shared" si="3"/>
        <v>0</v>
      </c>
    </row>
    <row r="65" spans="1:20" x14ac:dyDescent="0.25">
      <c r="A65" s="19"/>
      <c r="B65" s="20"/>
      <c r="C65" s="20"/>
      <c r="D65" s="20"/>
      <c r="E65" s="20"/>
      <c r="F65" s="20"/>
      <c r="G65" s="20"/>
      <c r="H65" s="20"/>
      <c r="I65" s="20"/>
      <c r="J65" s="20"/>
      <c r="K65" s="20"/>
      <c r="L65" s="20"/>
      <c r="M65" s="20"/>
      <c r="N65" s="20"/>
      <c r="O65" s="20"/>
      <c r="P65" s="20"/>
      <c r="Q65" s="20"/>
      <c r="R65" s="20"/>
      <c r="S65" s="20"/>
      <c r="T65" s="15"/>
    </row>
    <row r="66" spans="1:20" ht="54" customHeight="1" x14ac:dyDescent="0.25">
      <c r="A66" s="15"/>
      <c r="B66" s="516"/>
      <c r="C66" s="516"/>
      <c r="D66" s="516"/>
      <c r="E66" s="516"/>
      <c r="F66" s="516"/>
      <c r="G66" s="516"/>
      <c r="H66" s="516"/>
      <c r="I66" s="516"/>
      <c r="J66" s="516"/>
      <c r="K66" s="516"/>
      <c r="L66" s="516"/>
      <c r="M66" s="516"/>
      <c r="N66" s="516"/>
      <c r="O66" s="516"/>
      <c r="P66" s="516"/>
      <c r="Q66" s="516"/>
      <c r="R66" s="270"/>
      <c r="S66" s="270"/>
      <c r="T66" s="18"/>
    </row>
    <row r="67" spans="1:20" x14ac:dyDescent="0.25">
      <c r="A67" s="15"/>
      <c r="B67" s="15"/>
      <c r="C67" s="15"/>
      <c r="D67" s="15"/>
      <c r="E67" s="15"/>
      <c r="F67" s="15"/>
      <c r="T67" s="15"/>
    </row>
    <row r="68" spans="1:20" ht="50.25" customHeight="1" x14ac:dyDescent="0.25">
      <c r="A68" s="15"/>
      <c r="B68" s="526"/>
      <c r="C68" s="526"/>
      <c r="D68" s="526"/>
      <c r="E68" s="526"/>
      <c r="F68" s="526"/>
      <c r="G68" s="526"/>
      <c r="H68" s="526"/>
      <c r="I68" s="526"/>
      <c r="J68" s="526"/>
      <c r="K68" s="526"/>
      <c r="L68" s="526"/>
      <c r="M68" s="526"/>
      <c r="N68" s="526"/>
      <c r="O68" s="526"/>
      <c r="P68" s="526"/>
      <c r="Q68" s="526"/>
      <c r="R68" s="271"/>
      <c r="S68" s="271"/>
      <c r="T68" s="15"/>
    </row>
    <row r="69" spans="1:20" x14ac:dyDescent="0.25">
      <c r="A69" s="15"/>
      <c r="B69" s="15"/>
      <c r="C69" s="15"/>
      <c r="D69" s="15"/>
      <c r="E69" s="15"/>
      <c r="F69" s="15"/>
      <c r="T69" s="15"/>
    </row>
    <row r="70" spans="1:20" ht="36.75" customHeight="1" x14ac:dyDescent="0.25">
      <c r="A70" s="15"/>
      <c r="B70" s="516"/>
      <c r="C70" s="516"/>
      <c r="D70" s="516"/>
      <c r="E70" s="516"/>
      <c r="F70" s="516"/>
      <c r="G70" s="516"/>
      <c r="H70" s="516"/>
      <c r="I70" s="516"/>
      <c r="J70" s="516"/>
      <c r="K70" s="516"/>
      <c r="L70" s="516"/>
      <c r="M70" s="516"/>
      <c r="N70" s="516"/>
      <c r="O70" s="516"/>
      <c r="P70" s="516"/>
      <c r="Q70" s="516"/>
      <c r="R70" s="270"/>
      <c r="S70" s="270"/>
      <c r="T70" s="15"/>
    </row>
    <row r="71" spans="1:20" x14ac:dyDescent="0.25">
      <c r="A71" s="15"/>
      <c r="B71" s="17"/>
      <c r="C71" s="17"/>
      <c r="D71" s="17"/>
      <c r="E71" s="17"/>
      <c r="F71" s="17"/>
      <c r="T71" s="15"/>
    </row>
    <row r="72" spans="1:20" ht="51" customHeight="1" x14ac:dyDescent="0.25">
      <c r="A72" s="15"/>
      <c r="B72" s="516"/>
      <c r="C72" s="516"/>
      <c r="D72" s="516"/>
      <c r="E72" s="516"/>
      <c r="F72" s="516"/>
      <c r="G72" s="516"/>
      <c r="H72" s="516"/>
      <c r="I72" s="516"/>
      <c r="J72" s="516"/>
      <c r="K72" s="516"/>
      <c r="L72" s="516"/>
      <c r="M72" s="516"/>
      <c r="N72" s="516"/>
      <c r="O72" s="516"/>
      <c r="P72" s="516"/>
      <c r="Q72" s="516"/>
      <c r="R72" s="270"/>
      <c r="S72" s="270"/>
      <c r="T72" s="15"/>
    </row>
    <row r="73" spans="1:20" ht="32.25" customHeight="1" x14ac:dyDescent="0.25">
      <c r="A73" s="15"/>
      <c r="B73" s="526"/>
      <c r="C73" s="526"/>
      <c r="D73" s="526"/>
      <c r="E73" s="526"/>
      <c r="F73" s="526"/>
      <c r="G73" s="526"/>
      <c r="H73" s="526"/>
      <c r="I73" s="526"/>
      <c r="J73" s="526"/>
      <c r="K73" s="526"/>
      <c r="L73" s="526"/>
      <c r="M73" s="526"/>
      <c r="N73" s="526"/>
      <c r="O73" s="526"/>
      <c r="P73" s="526"/>
      <c r="Q73" s="526"/>
      <c r="R73" s="271"/>
      <c r="S73" s="271"/>
      <c r="T73" s="15"/>
    </row>
    <row r="74" spans="1:20" ht="51.75" customHeight="1" x14ac:dyDescent="0.25">
      <c r="A74" s="15"/>
      <c r="B74" s="516"/>
      <c r="C74" s="516"/>
      <c r="D74" s="516"/>
      <c r="E74" s="516"/>
      <c r="F74" s="516"/>
      <c r="G74" s="516"/>
      <c r="H74" s="516"/>
      <c r="I74" s="516"/>
      <c r="J74" s="516"/>
      <c r="K74" s="516"/>
      <c r="L74" s="516"/>
      <c r="M74" s="516"/>
      <c r="N74" s="516"/>
      <c r="O74" s="516"/>
      <c r="P74" s="516"/>
      <c r="Q74" s="516"/>
      <c r="R74" s="270"/>
      <c r="S74" s="270"/>
      <c r="T74" s="15"/>
    </row>
    <row r="75" spans="1:20" ht="21.75" customHeight="1" x14ac:dyDescent="0.25">
      <c r="A75" s="15"/>
      <c r="B75" s="517"/>
      <c r="C75" s="517"/>
      <c r="D75" s="517"/>
      <c r="E75" s="517"/>
      <c r="F75" s="517"/>
      <c r="G75" s="517"/>
      <c r="H75" s="517"/>
      <c r="I75" s="517"/>
      <c r="J75" s="517"/>
      <c r="K75" s="517"/>
      <c r="L75" s="517"/>
      <c r="M75" s="517"/>
      <c r="N75" s="517"/>
      <c r="O75" s="517"/>
      <c r="P75" s="517"/>
      <c r="Q75" s="517"/>
      <c r="R75" s="268"/>
      <c r="S75" s="268"/>
      <c r="T75" s="15"/>
    </row>
    <row r="76" spans="1:20" ht="23.25" customHeight="1" x14ac:dyDescent="0.25">
      <c r="A76" s="15"/>
      <c r="B76" s="16"/>
      <c r="C76" s="16"/>
      <c r="D76" s="16"/>
      <c r="E76" s="16"/>
      <c r="F76" s="16"/>
      <c r="T76" s="15"/>
    </row>
    <row r="77" spans="1:20" ht="18.75" customHeight="1" x14ac:dyDescent="0.25">
      <c r="A77" s="15"/>
      <c r="B77" s="518"/>
      <c r="C77" s="518"/>
      <c r="D77" s="518"/>
      <c r="E77" s="518"/>
      <c r="F77" s="518"/>
      <c r="G77" s="518"/>
      <c r="H77" s="518"/>
      <c r="I77" s="518"/>
      <c r="J77" s="518"/>
      <c r="K77" s="518"/>
      <c r="L77" s="518"/>
      <c r="M77" s="518"/>
      <c r="N77" s="518"/>
      <c r="O77" s="518"/>
      <c r="P77" s="518"/>
      <c r="Q77" s="518"/>
      <c r="R77" s="269"/>
      <c r="S77" s="269"/>
      <c r="T77" s="15"/>
    </row>
    <row r="78" spans="1:20" x14ac:dyDescent="0.25">
      <c r="A78" s="15"/>
      <c r="B78" s="15"/>
      <c r="C78" s="15"/>
      <c r="D78" s="15"/>
      <c r="E78" s="15"/>
      <c r="F78" s="15"/>
      <c r="T78" s="15"/>
    </row>
    <row r="79" spans="1:20" x14ac:dyDescent="0.25">
      <c r="A79" s="15"/>
      <c r="B79" s="15"/>
      <c r="C79" s="15"/>
      <c r="D79" s="15"/>
      <c r="E79" s="15"/>
      <c r="F79" s="15"/>
      <c r="T79" s="15"/>
    </row>
    <row r="80" spans="1:20" x14ac:dyDescent="0.25">
      <c r="G80" s="14"/>
      <c r="H80" s="14"/>
      <c r="I80" s="14"/>
      <c r="J80" s="14"/>
      <c r="K80" s="14"/>
      <c r="L80" s="14"/>
      <c r="M80" s="14"/>
      <c r="N80" s="14"/>
      <c r="O80" s="14"/>
      <c r="P80" s="14"/>
      <c r="Q80" s="14"/>
      <c r="R80" s="14"/>
      <c r="S80" s="14"/>
    </row>
    <row r="81" spans="7:19" x14ac:dyDescent="0.25">
      <c r="G81" s="14"/>
      <c r="H81" s="14"/>
      <c r="I81" s="14"/>
      <c r="J81" s="14"/>
      <c r="K81" s="14"/>
      <c r="L81" s="14"/>
      <c r="M81" s="14"/>
      <c r="N81" s="14"/>
      <c r="O81" s="14"/>
      <c r="P81" s="14"/>
      <c r="Q81" s="14"/>
      <c r="R81" s="14"/>
      <c r="S81" s="14"/>
    </row>
    <row r="82" spans="7:19" x14ac:dyDescent="0.25">
      <c r="G82" s="14"/>
      <c r="H82" s="14"/>
      <c r="I82" s="14"/>
      <c r="J82" s="14"/>
      <c r="K82" s="14"/>
      <c r="L82" s="14"/>
      <c r="M82" s="14"/>
      <c r="N82" s="14"/>
      <c r="O82" s="14"/>
      <c r="P82" s="14"/>
      <c r="Q82" s="14"/>
      <c r="R82" s="14"/>
      <c r="S82" s="14"/>
    </row>
    <row r="83" spans="7:19" x14ac:dyDescent="0.25">
      <c r="G83" s="14"/>
      <c r="H83" s="14"/>
      <c r="I83" s="14"/>
      <c r="J83" s="14"/>
      <c r="K83" s="14"/>
      <c r="L83" s="14"/>
      <c r="M83" s="14"/>
      <c r="N83" s="14"/>
      <c r="O83" s="14"/>
      <c r="P83" s="14"/>
      <c r="Q83" s="14"/>
      <c r="R83" s="14"/>
      <c r="S83" s="14"/>
    </row>
    <row r="84" spans="7:19" x14ac:dyDescent="0.25">
      <c r="G84" s="14"/>
      <c r="H84" s="14"/>
      <c r="I84" s="14"/>
      <c r="J84" s="14"/>
      <c r="K84" s="14"/>
      <c r="L84" s="14"/>
      <c r="M84" s="14"/>
      <c r="N84" s="14"/>
      <c r="O84" s="14"/>
      <c r="P84" s="14"/>
      <c r="Q84" s="14"/>
      <c r="R84" s="14"/>
      <c r="S84" s="14"/>
    </row>
    <row r="85" spans="7:19" x14ac:dyDescent="0.25">
      <c r="G85" s="14"/>
      <c r="H85" s="14"/>
      <c r="I85" s="14"/>
      <c r="J85" s="14"/>
      <c r="K85" s="14"/>
      <c r="L85" s="14"/>
      <c r="M85" s="14"/>
      <c r="N85" s="14"/>
      <c r="O85" s="14"/>
      <c r="P85" s="14"/>
      <c r="Q85" s="14"/>
      <c r="R85" s="14"/>
      <c r="S85" s="14"/>
    </row>
    <row r="86" spans="7:19" x14ac:dyDescent="0.25">
      <c r="G86" s="14"/>
      <c r="H86" s="14"/>
      <c r="I86" s="14"/>
      <c r="J86" s="14"/>
      <c r="K86" s="14"/>
      <c r="L86" s="14"/>
      <c r="M86" s="14"/>
      <c r="N86" s="14"/>
      <c r="O86" s="14"/>
      <c r="P86" s="14"/>
      <c r="Q86" s="14"/>
      <c r="R86" s="14"/>
      <c r="S86" s="14"/>
    </row>
    <row r="87" spans="7:19" x14ac:dyDescent="0.25">
      <c r="G87" s="14"/>
      <c r="H87" s="14"/>
      <c r="I87" s="14"/>
      <c r="J87" s="14"/>
      <c r="K87" s="14"/>
      <c r="L87" s="14"/>
      <c r="M87" s="14"/>
      <c r="N87" s="14"/>
      <c r="O87" s="14"/>
      <c r="P87" s="14"/>
      <c r="Q87" s="14"/>
      <c r="R87" s="14"/>
      <c r="S87" s="14"/>
    </row>
    <row r="88" spans="7:19" x14ac:dyDescent="0.25">
      <c r="G88" s="14"/>
      <c r="H88" s="14"/>
      <c r="I88" s="14"/>
      <c r="J88" s="14"/>
      <c r="K88" s="14"/>
      <c r="L88" s="14"/>
      <c r="M88" s="14"/>
      <c r="N88" s="14"/>
      <c r="O88" s="14"/>
      <c r="P88" s="14"/>
      <c r="Q88" s="14"/>
      <c r="R88" s="14"/>
      <c r="S88" s="14"/>
    </row>
    <row r="89" spans="7:19" x14ac:dyDescent="0.25">
      <c r="G89" s="14"/>
      <c r="H89" s="14"/>
      <c r="I89" s="14"/>
      <c r="J89" s="14"/>
      <c r="K89" s="14"/>
      <c r="L89" s="14"/>
      <c r="M89" s="14"/>
      <c r="N89" s="14"/>
      <c r="O89" s="14"/>
      <c r="P89" s="14"/>
      <c r="Q89" s="14"/>
      <c r="R89" s="14"/>
      <c r="S89" s="14"/>
    </row>
    <row r="90" spans="7:19" x14ac:dyDescent="0.25">
      <c r="G90" s="14"/>
      <c r="H90" s="14"/>
      <c r="I90" s="14"/>
      <c r="J90" s="14"/>
      <c r="K90" s="14"/>
      <c r="L90" s="14"/>
      <c r="M90" s="14"/>
      <c r="N90" s="14"/>
      <c r="O90" s="14"/>
      <c r="P90" s="14"/>
      <c r="Q90" s="14"/>
      <c r="R90" s="14"/>
      <c r="S90" s="14"/>
    </row>
    <row r="91" spans="7:19" x14ac:dyDescent="0.25">
      <c r="G91" s="14"/>
      <c r="H91" s="14"/>
      <c r="I91" s="14"/>
      <c r="J91" s="14"/>
      <c r="K91" s="14"/>
      <c r="L91" s="14"/>
      <c r="M91" s="14"/>
      <c r="N91" s="14"/>
      <c r="O91" s="14"/>
      <c r="P91" s="14"/>
      <c r="Q91" s="14"/>
      <c r="R91" s="14"/>
      <c r="S91" s="14"/>
    </row>
    <row r="92" spans="7:19" x14ac:dyDescent="0.25">
      <c r="G92" s="14"/>
      <c r="H92" s="14"/>
      <c r="I92" s="14"/>
      <c r="J92" s="14"/>
      <c r="K92" s="14"/>
      <c r="L92" s="14"/>
      <c r="M92" s="14"/>
      <c r="N92" s="14"/>
      <c r="O92" s="14"/>
      <c r="P92" s="14"/>
      <c r="Q92" s="14"/>
      <c r="R92" s="14"/>
      <c r="S92" s="14"/>
    </row>
  </sheetData>
  <mergeCells count="33">
    <mergeCell ref="B74:Q74"/>
    <mergeCell ref="B75:Q75"/>
    <mergeCell ref="B77:Q77"/>
    <mergeCell ref="A20:A22"/>
    <mergeCell ref="B20:B22"/>
    <mergeCell ref="C20:D21"/>
    <mergeCell ref="E20:F21"/>
    <mergeCell ref="G20:G22"/>
    <mergeCell ref="B66:Q66"/>
    <mergeCell ref="B68:Q68"/>
    <mergeCell ref="B70:Q70"/>
    <mergeCell ref="B72:Q72"/>
    <mergeCell ref="B73:Q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35:L64 D25:G29 I25:I29 K25:K29 Q25:T29 C30:I34 K30:L34 C24:L24 N24:T24 N30:T64 F25:F64">
    <cfRule type="cellIs" dxfId="0" priority="9" operator="notEqual">
      <formula>0</formula>
    </cfRule>
  </conditionalFormatting>
  <conditionalFormatting sqref="U24:U64">
    <cfRule type="cellIs" dxfId="8" priority="8" operator="notEqual">
      <formula>0</formula>
    </cfRule>
  </conditionalFormatting>
  <conditionalFormatting sqref="J25:J34">
    <cfRule type="cellIs" dxfId="7" priority="7" operator="notEqual">
      <formula>0</formula>
    </cfRule>
  </conditionalFormatting>
  <conditionalFormatting sqref="C25:C29">
    <cfRule type="cellIs" dxfId="6" priority="6" operator="notEqual">
      <formula>0</formula>
    </cfRule>
  </conditionalFormatting>
  <conditionalFormatting sqref="H25:H29">
    <cfRule type="cellIs" dxfId="5" priority="5" operator="notEqual">
      <formula>0</formula>
    </cfRule>
  </conditionalFormatting>
  <conditionalFormatting sqref="L25:L29 N25:P29">
    <cfRule type="cellIs" dxfId="4" priority="4" operator="notEqual">
      <formula>0</formula>
    </cfRule>
  </conditionalFormatting>
  <conditionalFormatting sqref="M24 M30:M64">
    <cfRule type="cellIs" dxfId="2" priority="2" operator="notEqual">
      <formula>0</formula>
    </cfRule>
  </conditionalFormatting>
  <conditionalFormatting sqref="M25:M29">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U19" zoomScale="80" zoomScaleSheetLayoutView="80" workbookViewId="0">
      <selection activeCell="AC31" sqref="AC31"/>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31.28515625" style="131" customWidth="1"/>
    <col min="24" max="25" width="19" style="131" customWidth="1"/>
    <col min="26" max="26" width="7.7109375" style="131" customWidth="1"/>
    <col min="27" max="27" width="22.42578125" style="131" customWidth="1"/>
    <col min="28" max="28" width="19.28515625" style="131" customWidth="1"/>
    <col min="29" max="29" width="31" style="131" customWidth="1"/>
    <col min="30" max="30" width="16.28515625" style="131" customWidth="1"/>
    <col min="31" max="31" width="15.85546875" style="131" customWidth="1"/>
    <col min="32" max="32" width="14.7109375" style="131" customWidth="1"/>
    <col min="33" max="33" width="16" style="131" customWidth="1"/>
    <col min="34" max="34" width="16.140625" style="131" customWidth="1"/>
    <col min="35" max="35" width="13.42578125" style="131" customWidth="1"/>
    <col min="36" max="36" width="15.28515625" style="131" customWidth="1"/>
    <col min="37" max="37" width="17.42578125" style="131" customWidth="1"/>
    <col min="38" max="38" width="18.28515625" style="131" customWidth="1"/>
    <col min="39" max="39" width="9.7109375" style="131" customWidth="1"/>
    <col min="40" max="40" width="11.140625" style="131" customWidth="1"/>
    <col min="41" max="41" width="9.7109375" style="131" customWidth="1"/>
    <col min="42" max="42" width="12.42578125" style="131" customWidth="1"/>
    <col min="43" max="43" width="12" style="131" customWidth="1"/>
    <col min="44" max="44" width="14.140625" style="131" customWidth="1"/>
    <col min="45" max="46" width="13.28515625" style="131" customWidth="1"/>
    <col min="47" max="47" width="10.7109375" style="131" customWidth="1"/>
    <col min="48" max="48" width="21.85546875" style="131" customWidth="1"/>
    <col min="49" max="16384" width="9.140625" style="131"/>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
    </row>
    <row r="7" spans="1:48" ht="18.75" x14ac:dyDescent="0.25">
      <c r="A7" s="411" t="s">
        <v>6</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ht="15.75" x14ac:dyDescent="0.25">
      <c r="A9" s="414" t="str">
        <f>'1. паспорт местоположение'!A9:C9</f>
        <v>Акционерное общество "Россети Янтарь"</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2" t="s">
        <v>5</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ht="15.75" x14ac:dyDescent="0.25">
      <c r="A12" s="414" t="str">
        <f>'1. паспорт местоположение'!A12:C12</f>
        <v>L_19-1035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2" t="s">
        <v>4</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ht="101.25" customHeight="1" x14ac:dyDescent="0.25">
      <c r="A15" s="448" t="str">
        <f>'1. паспорт местоположение'!A15:C15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c r="AU15" s="448"/>
      <c r="AV15" s="448"/>
    </row>
    <row r="16" spans="1:48" ht="15.75" x14ac:dyDescent="0.25">
      <c r="A16" s="412" t="s">
        <v>3</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79"/>
    </row>
    <row r="18" spans="1:48" ht="14.25" customHeight="1"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79"/>
    </row>
    <row r="19" spans="1:4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79"/>
      <c r="AB19" s="479"/>
      <c r="AC19" s="479"/>
      <c r="AD19" s="479"/>
      <c r="AE19" s="479"/>
      <c r="AF19" s="479"/>
      <c r="AG19" s="479"/>
      <c r="AH19" s="479"/>
      <c r="AI19" s="479"/>
      <c r="AJ19" s="479"/>
      <c r="AK19" s="479"/>
      <c r="AL19" s="479"/>
      <c r="AM19" s="479"/>
      <c r="AN19" s="479"/>
      <c r="AO19" s="479"/>
      <c r="AP19" s="479"/>
      <c r="AQ19" s="479"/>
      <c r="AR19" s="479"/>
      <c r="AS19" s="479"/>
      <c r="AT19" s="479"/>
      <c r="AU19" s="479"/>
      <c r="AV19" s="479"/>
    </row>
    <row r="20" spans="1:48" s="132"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132" customFormat="1" x14ac:dyDescent="0.25">
      <c r="A21" s="541" t="s">
        <v>361</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row>
    <row r="22" spans="1:48" s="132" customFormat="1" ht="58.5" customHeight="1" x14ac:dyDescent="0.25">
      <c r="A22" s="532" t="s">
        <v>49</v>
      </c>
      <c r="B22" s="543" t="s">
        <v>21</v>
      </c>
      <c r="C22" s="532" t="s">
        <v>48</v>
      </c>
      <c r="D22" s="532" t="s">
        <v>47</v>
      </c>
      <c r="E22" s="546" t="s">
        <v>371</v>
      </c>
      <c r="F22" s="547"/>
      <c r="G22" s="547"/>
      <c r="H22" s="547"/>
      <c r="I22" s="547"/>
      <c r="J22" s="547"/>
      <c r="K22" s="547"/>
      <c r="L22" s="548"/>
      <c r="M22" s="532" t="s">
        <v>46</v>
      </c>
      <c r="N22" s="532" t="s">
        <v>45</v>
      </c>
      <c r="O22" s="532" t="s">
        <v>44</v>
      </c>
      <c r="P22" s="527" t="s">
        <v>206</v>
      </c>
      <c r="Q22" s="527" t="s">
        <v>43</v>
      </c>
      <c r="R22" s="527" t="s">
        <v>42</v>
      </c>
      <c r="S22" s="527" t="s">
        <v>41</v>
      </c>
      <c r="T22" s="527"/>
      <c r="U22" s="549" t="s">
        <v>40</v>
      </c>
      <c r="V22" s="549" t="s">
        <v>39</v>
      </c>
      <c r="W22" s="527" t="s">
        <v>38</v>
      </c>
      <c r="X22" s="527" t="s">
        <v>37</v>
      </c>
      <c r="Y22" s="527" t="s">
        <v>36</v>
      </c>
      <c r="Z22" s="534" t="s">
        <v>35</v>
      </c>
      <c r="AA22" s="527" t="s">
        <v>34</v>
      </c>
      <c r="AB22" s="527" t="s">
        <v>33</v>
      </c>
      <c r="AC22" s="527" t="s">
        <v>32</v>
      </c>
      <c r="AD22" s="527" t="s">
        <v>31</v>
      </c>
      <c r="AE22" s="527" t="s">
        <v>30</v>
      </c>
      <c r="AF22" s="527" t="s">
        <v>29</v>
      </c>
      <c r="AG22" s="527"/>
      <c r="AH22" s="527"/>
      <c r="AI22" s="527"/>
      <c r="AJ22" s="527"/>
      <c r="AK22" s="527"/>
      <c r="AL22" s="527" t="s">
        <v>28</v>
      </c>
      <c r="AM22" s="527"/>
      <c r="AN22" s="527"/>
      <c r="AO22" s="527"/>
      <c r="AP22" s="527" t="s">
        <v>27</v>
      </c>
      <c r="AQ22" s="527"/>
      <c r="AR22" s="527" t="s">
        <v>26</v>
      </c>
      <c r="AS22" s="527" t="s">
        <v>25</v>
      </c>
      <c r="AT22" s="527" t="s">
        <v>24</v>
      </c>
      <c r="AU22" s="527" t="s">
        <v>23</v>
      </c>
      <c r="AV22" s="535" t="s">
        <v>22</v>
      </c>
    </row>
    <row r="23" spans="1:48" s="132" customFormat="1" ht="64.5" customHeight="1" x14ac:dyDescent="0.25">
      <c r="A23" s="542"/>
      <c r="B23" s="544"/>
      <c r="C23" s="542"/>
      <c r="D23" s="542"/>
      <c r="E23" s="537" t="s">
        <v>20</v>
      </c>
      <c r="F23" s="528" t="s">
        <v>124</v>
      </c>
      <c r="G23" s="528" t="s">
        <v>123</v>
      </c>
      <c r="H23" s="528" t="s">
        <v>122</v>
      </c>
      <c r="I23" s="530" t="s">
        <v>308</v>
      </c>
      <c r="J23" s="530" t="s">
        <v>309</v>
      </c>
      <c r="K23" s="530" t="s">
        <v>310</v>
      </c>
      <c r="L23" s="528" t="s">
        <v>73</v>
      </c>
      <c r="M23" s="542"/>
      <c r="N23" s="542"/>
      <c r="O23" s="542"/>
      <c r="P23" s="527"/>
      <c r="Q23" s="527"/>
      <c r="R23" s="527"/>
      <c r="S23" s="539" t="s">
        <v>1</v>
      </c>
      <c r="T23" s="539" t="s">
        <v>8</v>
      </c>
      <c r="U23" s="549"/>
      <c r="V23" s="549"/>
      <c r="W23" s="527"/>
      <c r="X23" s="527"/>
      <c r="Y23" s="527"/>
      <c r="Z23" s="527"/>
      <c r="AA23" s="527"/>
      <c r="AB23" s="527"/>
      <c r="AC23" s="527"/>
      <c r="AD23" s="527"/>
      <c r="AE23" s="527"/>
      <c r="AF23" s="527" t="s">
        <v>19</v>
      </c>
      <c r="AG23" s="527"/>
      <c r="AH23" s="527" t="s">
        <v>18</v>
      </c>
      <c r="AI23" s="527"/>
      <c r="AJ23" s="532" t="s">
        <v>17</v>
      </c>
      <c r="AK23" s="532" t="s">
        <v>16</v>
      </c>
      <c r="AL23" s="532" t="s">
        <v>15</v>
      </c>
      <c r="AM23" s="532" t="s">
        <v>14</v>
      </c>
      <c r="AN23" s="532" t="s">
        <v>13</v>
      </c>
      <c r="AO23" s="532" t="s">
        <v>12</v>
      </c>
      <c r="AP23" s="532" t="s">
        <v>11</v>
      </c>
      <c r="AQ23" s="550" t="s">
        <v>8</v>
      </c>
      <c r="AR23" s="527"/>
      <c r="AS23" s="527"/>
      <c r="AT23" s="527"/>
      <c r="AU23" s="527"/>
      <c r="AV23" s="536"/>
    </row>
    <row r="24" spans="1:48" s="132" customFormat="1" ht="96.75" customHeight="1" x14ac:dyDescent="0.25">
      <c r="A24" s="533"/>
      <c r="B24" s="545"/>
      <c r="C24" s="533"/>
      <c r="D24" s="533"/>
      <c r="E24" s="538"/>
      <c r="F24" s="529"/>
      <c r="G24" s="529"/>
      <c r="H24" s="529"/>
      <c r="I24" s="531"/>
      <c r="J24" s="531"/>
      <c r="K24" s="531"/>
      <c r="L24" s="529"/>
      <c r="M24" s="533"/>
      <c r="N24" s="533"/>
      <c r="O24" s="533"/>
      <c r="P24" s="527"/>
      <c r="Q24" s="527"/>
      <c r="R24" s="527"/>
      <c r="S24" s="540"/>
      <c r="T24" s="540"/>
      <c r="U24" s="549"/>
      <c r="V24" s="549"/>
      <c r="W24" s="527"/>
      <c r="X24" s="527"/>
      <c r="Y24" s="527"/>
      <c r="Z24" s="527"/>
      <c r="AA24" s="527"/>
      <c r="AB24" s="527"/>
      <c r="AC24" s="527"/>
      <c r="AD24" s="527"/>
      <c r="AE24" s="527"/>
      <c r="AF24" s="133" t="s">
        <v>10</v>
      </c>
      <c r="AG24" s="133" t="s">
        <v>9</v>
      </c>
      <c r="AH24" s="134" t="s">
        <v>1</v>
      </c>
      <c r="AI24" s="134" t="s">
        <v>8</v>
      </c>
      <c r="AJ24" s="533"/>
      <c r="AK24" s="533"/>
      <c r="AL24" s="533"/>
      <c r="AM24" s="533"/>
      <c r="AN24" s="533"/>
      <c r="AO24" s="533"/>
      <c r="AP24" s="533"/>
      <c r="AQ24" s="551"/>
      <c r="AR24" s="527"/>
      <c r="AS24" s="527"/>
      <c r="AT24" s="527"/>
      <c r="AU24" s="527"/>
      <c r="AV24" s="536"/>
    </row>
    <row r="25" spans="1:48" s="136" customFormat="1" ht="11.25" x14ac:dyDescent="0.2">
      <c r="A25" s="135">
        <v>1</v>
      </c>
      <c r="B25" s="135">
        <v>2</v>
      </c>
      <c r="C25" s="135">
        <v>4</v>
      </c>
      <c r="D25" s="135">
        <v>5</v>
      </c>
      <c r="E25" s="135">
        <v>6</v>
      </c>
      <c r="F25" s="135">
        <f>E25+1</f>
        <v>7</v>
      </c>
      <c r="G25" s="135">
        <f t="shared" ref="G25:H25" si="0">F25+1</f>
        <v>8</v>
      </c>
      <c r="H25" s="135">
        <f t="shared" si="0"/>
        <v>9</v>
      </c>
      <c r="I25" s="135">
        <f t="shared" ref="I25" si="1">H25+1</f>
        <v>10</v>
      </c>
      <c r="J25" s="135">
        <f t="shared" ref="J25" si="2">I25+1</f>
        <v>11</v>
      </c>
      <c r="K25" s="135">
        <f t="shared" ref="K25" si="3">J25+1</f>
        <v>12</v>
      </c>
      <c r="L25" s="135">
        <f t="shared" ref="L25" si="4">K25+1</f>
        <v>13</v>
      </c>
      <c r="M25" s="135">
        <f t="shared" ref="M25" si="5">L25+1</f>
        <v>14</v>
      </c>
      <c r="N25" s="135">
        <f t="shared" ref="N25" si="6">M25+1</f>
        <v>15</v>
      </c>
      <c r="O25" s="135">
        <f t="shared" ref="O25" si="7">N25+1</f>
        <v>16</v>
      </c>
      <c r="P25" s="135">
        <f t="shared" ref="P25" si="8">O25+1</f>
        <v>17</v>
      </c>
      <c r="Q25" s="135">
        <f t="shared" ref="Q25" si="9">P25+1</f>
        <v>18</v>
      </c>
      <c r="R25" s="135">
        <f t="shared" ref="R25" si="10">Q25+1</f>
        <v>19</v>
      </c>
      <c r="S25" s="135">
        <f t="shared" ref="S25" si="11">R25+1</f>
        <v>20</v>
      </c>
      <c r="T25" s="135">
        <f t="shared" ref="T25" si="12">S25+1</f>
        <v>21</v>
      </c>
      <c r="U25" s="135">
        <f t="shared" ref="U25" si="13">T25+1</f>
        <v>22</v>
      </c>
      <c r="V25" s="135">
        <f t="shared" ref="V25" si="14">U25+1</f>
        <v>23</v>
      </c>
      <c r="W25" s="135">
        <f t="shared" ref="W25" si="15">V25+1</f>
        <v>24</v>
      </c>
      <c r="X25" s="135">
        <f t="shared" ref="X25" si="16">W25+1</f>
        <v>25</v>
      </c>
      <c r="Y25" s="135">
        <f t="shared" ref="Y25" si="17">X25+1</f>
        <v>26</v>
      </c>
      <c r="Z25" s="135">
        <f t="shared" ref="Z25" si="18">Y25+1</f>
        <v>27</v>
      </c>
      <c r="AA25" s="135">
        <f t="shared" ref="AA25" si="19">Z25+1</f>
        <v>28</v>
      </c>
      <c r="AB25" s="135">
        <f t="shared" ref="AB25" si="20">AA25+1</f>
        <v>29</v>
      </c>
      <c r="AC25" s="135">
        <f t="shared" ref="AC25" si="21">AB25+1</f>
        <v>30</v>
      </c>
      <c r="AD25" s="135">
        <f t="shared" ref="AD25" si="22">AC25+1</f>
        <v>31</v>
      </c>
      <c r="AE25" s="135">
        <f t="shared" ref="AE25" si="23">AD25+1</f>
        <v>32</v>
      </c>
      <c r="AF25" s="135">
        <f t="shared" ref="AF25" si="24">AE25+1</f>
        <v>33</v>
      </c>
      <c r="AG25" s="135">
        <f t="shared" ref="AG25" si="25">AF25+1</f>
        <v>34</v>
      </c>
      <c r="AH25" s="135">
        <f t="shared" ref="AH25" si="26">AG25+1</f>
        <v>35</v>
      </c>
      <c r="AI25" s="135">
        <f t="shared" ref="AI25" si="27">AH25+1</f>
        <v>36</v>
      </c>
      <c r="AJ25" s="135">
        <f t="shared" ref="AJ25" si="28">AI25+1</f>
        <v>37</v>
      </c>
      <c r="AK25" s="135">
        <f t="shared" ref="AK25" si="29">AJ25+1</f>
        <v>38</v>
      </c>
      <c r="AL25" s="135">
        <f t="shared" ref="AL25" si="30">AK25+1</f>
        <v>39</v>
      </c>
      <c r="AM25" s="135">
        <f t="shared" ref="AM25" si="31">AL25+1</f>
        <v>40</v>
      </c>
      <c r="AN25" s="135">
        <f t="shared" ref="AN25" si="32">AM25+1</f>
        <v>41</v>
      </c>
      <c r="AO25" s="135">
        <f t="shared" ref="AO25" si="33">AN25+1</f>
        <v>42</v>
      </c>
      <c r="AP25" s="135">
        <f t="shared" ref="AP25" si="34">AO25+1</f>
        <v>43</v>
      </c>
      <c r="AQ25" s="135">
        <f t="shared" ref="AQ25" si="35">AP25+1</f>
        <v>44</v>
      </c>
      <c r="AR25" s="135">
        <f t="shared" ref="AR25" si="36">AQ25+1</f>
        <v>45</v>
      </c>
      <c r="AS25" s="135">
        <f t="shared" ref="AS25" si="37">AR25+1</f>
        <v>46</v>
      </c>
      <c r="AT25" s="135">
        <f t="shared" ref="AT25" si="38">AS25+1</f>
        <v>47</v>
      </c>
      <c r="AU25" s="135">
        <f t="shared" ref="AU25" si="39">AT25+1</f>
        <v>48</v>
      </c>
      <c r="AV25" s="135">
        <f t="shared" ref="AV25" si="40">AU25+1</f>
        <v>49</v>
      </c>
    </row>
    <row r="26" spans="1:48" s="328" customFormat="1" ht="60" x14ac:dyDescent="0.25">
      <c r="A26" s="318">
        <v>1</v>
      </c>
      <c r="B26" s="319" t="s">
        <v>700</v>
      </c>
      <c r="C26" s="319">
        <v>1</v>
      </c>
      <c r="D26" s="320" t="str">
        <f>'6.1. Паспорт сетевой график'!D53</f>
        <v>15.12.2023
30.11.2024</v>
      </c>
      <c r="E26" s="321"/>
      <c r="F26" s="321"/>
      <c r="G26" s="321">
        <f>'6.2. Паспорт фин осв ввод'!C37</f>
        <v>1.96</v>
      </c>
      <c r="H26" s="321"/>
      <c r="I26" s="321"/>
      <c r="J26" s="321"/>
      <c r="K26" s="321">
        <f>'6.2. Паспорт фин осв ввод'!C41</f>
        <v>28.733999999999998</v>
      </c>
      <c r="L26" s="321"/>
      <c r="M26" s="319" t="s">
        <v>701</v>
      </c>
      <c r="N26" s="322" t="s">
        <v>711</v>
      </c>
      <c r="O26" s="324" t="s">
        <v>378</v>
      </c>
      <c r="P26" s="325">
        <v>5222.7</v>
      </c>
      <c r="Q26" s="324" t="s">
        <v>702</v>
      </c>
      <c r="R26" s="325">
        <v>5222.7</v>
      </c>
      <c r="S26" s="324" t="s">
        <v>703</v>
      </c>
      <c r="T26" s="324" t="s">
        <v>704</v>
      </c>
      <c r="U26" s="326" t="s">
        <v>60</v>
      </c>
      <c r="V26" s="326" t="s">
        <v>60</v>
      </c>
      <c r="W26" s="324" t="s">
        <v>705</v>
      </c>
      <c r="X26" s="325">
        <v>5118.24</v>
      </c>
      <c r="Y26" s="326"/>
      <c r="Z26" s="326" t="s">
        <v>706</v>
      </c>
      <c r="AA26" s="325">
        <v>5118.24</v>
      </c>
      <c r="AB26" s="325">
        <v>5118.24</v>
      </c>
      <c r="AC26" s="324" t="s">
        <v>705</v>
      </c>
      <c r="AD26" s="325">
        <f>'8. Общие сведения'!B67*1000</f>
        <v>5118.2436299999999</v>
      </c>
      <c r="AE26" s="325">
        <f>AD26</f>
        <v>5118.2436299999999</v>
      </c>
      <c r="AF26" s="324" t="s">
        <v>707</v>
      </c>
      <c r="AG26" s="331" t="s">
        <v>708</v>
      </c>
      <c r="AH26" s="327">
        <v>43896</v>
      </c>
      <c r="AI26" s="327">
        <v>43896</v>
      </c>
      <c r="AJ26" s="327">
        <v>43941</v>
      </c>
      <c r="AK26" s="327">
        <v>43951</v>
      </c>
      <c r="AL26" s="326"/>
      <c r="AM26" s="326"/>
      <c r="AN26" s="326"/>
      <c r="AO26" s="326"/>
      <c r="AP26" s="326" t="s">
        <v>709</v>
      </c>
      <c r="AQ26" s="326" t="s">
        <v>709</v>
      </c>
      <c r="AR26" s="326" t="s">
        <v>709</v>
      </c>
      <c r="AS26" s="326" t="s">
        <v>709</v>
      </c>
      <c r="AT26" s="327">
        <v>44377</v>
      </c>
      <c r="AU26" s="326"/>
      <c r="AV26" s="324" t="s">
        <v>713</v>
      </c>
    </row>
    <row r="27" spans="1:48" s="328" customFormat="1" x14ac:dyDescent="0.25">
      <c r="A27" s="318"/>
      <c r="B27" s="319"/>
      <c r="C27" s="319"/>
      <c r="D27" s="320"/>
      <c r="E27" s="321"/>
      <c r="F27" s="321"/>
      <c r="G27" s="321"/>
      <c r="H27" s="321"/>
      <c r="I27" s="321"/>
      <c r="J27" s="321"/>
      <c r="K27" s="321"/>
      <c r="L27" s="321"/>
      <c r="M27" s="326"/>
      <c r="N27" s="322"/>
      <c r="O27" s="324"/>
      <c r="P27" s="325"/>
      <c r="Q27" s="324"/>
      <c r="R27" s="325"/>
      <c r="S27" s="324"/>
      <c r="T27" s="324"/>
      <c r="U27" s="326"/>
      <c r="V27" s="326"/>
      <c r="W27" s="324" t="s">
        <v>710</v>
      </c>
      <c r="X27" s="325">
        <v>5170.47</v>
      </c>
      <c r="Y27" s="326"/>
      <c r="Z27" s="326"/>
      <c r="AA27" s="325">
        <v>5170.47</v>
      </c>
      <c r="AB27" s="325"/>
      <c r="AC27" s="324"/>
      <c r="AD27" s="329"/>
      <c r="AE27" s="325"/>
      <c r="AF27" s="324"/>
      <c r="AG27" s="323"/>
      <c r="AH27" s="327"/>
      <c r="AI27" s="327"/>
      <c r="AJ27" s="327"/>
      <c r="AK27" s="327"/>
      <c r="AL27" s="326"/>
      <c r="AM27" s="326"/>
      <c r="AN27" s="326"/>
      <c r="AO27" s="326"/>
      <c r="AP27" s="326"/>
      <c r="AQ27" s="326"/>
      <c r="AR27" s="326"/>
      <c r="AS27" s="326"/>
      <c r="AT27" s="326"/>
      <c r="AU27" s="326"/>
      <c r="AV27" s="324"/>
    </row>
    <row r="28" spans="1:48" s="328" customFormat="1" ht="120" x14ac:dyDescent="0.25">
      <c r="A28" s="318">
        <v>2</v>
      </c>
      <c r="B28" s="319" t="s">
        <v>700</v>
      </c>
      <c r="C28" s="319">
        <v>1</v>
      </c>
      <c r="D28" s="320" t="str">
        <f>D26</f>
        <v>15.12.2023
30.11.2024</v>
      </c>
      <c r="E28" s="321"/>
      <c r="F28" s="321"/>
      <c r="G28" s="321">
        <f>G26</f>
        <v>1.96</v>
      </c>
      <c r="H28" s="321"/>
      <c r="I28" s="321"/>
      <c r="J28" s="321"/>
      <c r="K28" s="321">
        <f>K26</f>
        <v>28.733999999999998</v>
      </c>
      <c r="L28" s="321"/>
      <c r="M28" s="319" t="s">
        <v>817</v>
      </c>
      <c r="N28" s="322" t="s">
        <v>818</v>
      </c>
      <c r="O28" s="324" t="s">
        <v>378</v>
      </c>
      <c r="P28" s="325">
        <v>752.6</v>
      </c>
      <c r="Q28" s="324" t="s">
        <v>819</v>
      </c>
      <c r="R28" s="325">
        <v>752.6</v>
      </c>
      <c r="S28" s="324" t="s">
        <v>703</v>
      </c>
      <c r="T28" s="324" t="s">
        <v>820</v>
      </c>
      <c r="U28" s="326" t="s">
        <v>61</v>
      </c>
      <c r="V28" s="326" t="s">
        <v>61</v>
      </c>
      <c r="W28" s="324" t="s">
        <v>821</v>
      </c>
      <c r="X28" s="325">
        <v>752.6</v>
      </c>
      <c r="Y28" s="326"/>
      <c r="Z28" s="326"/>
      <c r="AA28" s="325"/>
      <c r="AB28" s="325">
        <v>752.6</v>
      </c>
      <c r="AC28" s="324" t="s">
        <v>821</v>
      </c>
      <c r="AD28" s="325">
        <f>'8. Общие сведения'!B75*1000</f>
        <v>903.11500000000001</v>
      </c>
      <c r="AE28" s="325">
        <f>AD28</f>
        <v>903.11500000000001</v>
      </c>
      <c r="AF28" s="324" t="s">
        <v>822</v>
      </c>
      <c r="AG28" s="331" t="s">
        <v>708</v>
      </c>
      <c r="AH28" s="327">
        <v>44459</v>
      </c>
      <c r="AI28" s="327">
        <v>44459</v>
      </c>
      <c r="AJ28" s="327" t="s">
        <v>823</v>
      </c>
      <c r="AK28" s="327" t="s">
        <v>823</v>
      </c>
      <c r="AL28" s="326" t="s">
        <v>824</v>
      </c>
      <c r="AM28" s="326" t="s">
        <v>825</v>
      </c>
      <c r="AN28" s="326" t="s">
        <v>826</v>
      </c>
      <c r="AO28" s="326" t="s">
        <v>827</v>
      </c>
      <c r="AP28" s="326" t="s">
        <v>826</v>
      </c>
      <c r="AQ28" s="326" t="s">
        <v>826</v>
      </c>
      <c r="AR28" s="326" t="s">
        <v>826</v>
      </c>
      <c r="AS28" s="326" t="s">
        <v>826</v>
      </c>
      <c r="AT28" s="327" t="s">
        <v>828</v>
      </c>
      <c r="AU28" s="326"/>
      <c r="AV28" s="324"/>
    </row>
    <row r="29" spans="1:48" s="374" customFormat="1" ht="30" x14ac:dyDescent="0.25">
      <c r="A29" s="365">
        <v>3</v>
      </c>
      <c r="B29" s="366" t="str">
        <f>B28</f>
        <v>АО "Янтарьэнерго"/ ДУКИП</v>
      </c>
      <c r="C29" s="366">
        <v>7</v>
      </c>
      <c r="D29" s="367" t="str">
        <f>D28</f>
        <v>15.12.2023
30.11.2024</v>
      </c>
      <c r="E29" s="368"/>
      <c r="F29" s="368"/>
      <c r="G29" s="368">
        <f>G28</f>
        <v>1.96</v>
      </c>
      <c r="H29" s="368"/>
      <c r="I29" s="368"/>
      <c r="J29" s="368"/>
      <c r="K29" s="368">
        <f>K28</f>
        <v>28.733999999999998</v>
      </c>
      <c r="L29" s="368"/>
      <c r="M29" s="366" t="s">
        <v>829</v>
      </c>
      <c r="N29" s="366" t="s">
        <v>830</v>
      </c>
      <c r="O29" s="366" t="s">
        <v>378</v>
      </c>
      <c r="P29" s="369">
        <v>1801.82</v>
      </c>
      <c r="Q29" s="366" t="s">
        <v>831</v>
      </c>
      <c r="R29" s="369">
        <v>1801.82</v>
      </c>
      <c r="S29" s="366" t="s">
        <v>703</v>
      </c>
      <c r="T29" s="366" t="s">
        <v>832</v>
      </c>
      <c r="U29" s="366" t="s">
        <v>60</v>
      </c>
      <c r="V29" s="366" t="s">
        <v>60</v>
      </c>
      <c r="W29" s="370" t="s">
        <v>833</v>
      </c>
      <c r="X29" s="369">
        <v>1801.82</v>
      </c>
      <c r="Y29" s="370"/>
      <c r="Z29" s="370"/>
      <c r="AA29" s="371"/>
      <c r="AB29" s="369">
        <v>1801.82</v>
      </c>
      <c r="AC29" s="371" t="s">
        <v>834</v>
      </c>
      <c r="AD29" s="369">
        <f>'8. Общие сведения'!B71*1000</f>
        <v>13.5</v>
      </c>
      <c r="AE29" s="369">
        <v>0</v>
      </c>
      <c r="AF29" s="366" t="s">
        <v>835</v>
      </c>
      <c r="AG29" s="366" t="s">
        <v>836</v>
      </c>
      <c r="AH29" s="372">
        <v>43397</v>
      </c>
      <c r="AI29" s="372">
        <v>43397</v>
      </c>
      <c r="AJ29" s="372">
        <v>43445</v>
      </c>
      <c r="AK29" s="372">
        <v>43462</v>
      </c>
      <c r="AL29" s="366"/>
      <c r="AM29" s="366"/>
      <c r="AN29" s="372"/>
      <c r="AO29" s="373"/>
      <c r="AP29" s="372" t="s">
        <v>837</v>
      </c>
      <c r="AQ29" s="372" t="s">
        <v>837</v>
      </c>
      <c r="AR29" s="372" t="s">
        <v>837</v>
      </c>
      <c r="AS29" s="372" t="s">
        <v>837</v>
      </c>
      <c r="AT29" s="372" t="s">
        <v>838</v>
      </c>
      <c r="AU29" s="366"/>
      <c r="AV29" s="366" t="s">
        <v>839</v>
      </c>
    </row>
    <row r="30" spans="1:48" s="374" customFormat="1" ht="15.75" x14ac:dyDescent="0.25">
      <c r="A30" s="365"/>
      <c r="B30" s="366"/>
      <c r="C30" s="366"/>
      <c r="D30" s="367"/>
      <c r="E30" s="368"/>
      <c r="F30" s="368"/>
      <c r="G30" s="368"/>
      <c r="H30" s="368"/>
      <c r="I30" s="368"/>
      <c r="J30" s="368"/>
      <c r="K30" s="368"/>
      <c r="L30" s="368"/>
      <c r="M30" s="366"/>
      <c r="N30" s="366"/>
      <c r="O30" s="366"/>
      <c r="P30" s="369"/>
      <c r="Q30" s="366"/>
      <c r="R30" s="369"/>
      <c r="S30" s="366"/>
      <c r="T30" s="366"/>
      <c r="U30" s="366"/>
      <c r="V30" s="366"/>
      <c r="W30" s="370" t="s">
        <v>834</v>
      </c>
      <c r="X30" s="369">
        <v>1801.82</v>
      </c>
      <c r="Y30" s="370"/>
      <c r="Z30" s="370"/>
      <c r="AA30" s="371"/>
      <c r="AB30" s="371"/>
      <c r="AC30" s="371"/>
      <c r="AD30" s="371"/>
      <c r="AE30" s="371"/>
      <c r="AF30" s="366"/>
      <c r="AG30" s="366"/>
      <c r="AH30" s="372"/>
      <c r="AI30" s="372"/>
      <c r="AJ30" s="372"/>
      <c r="AK30" s="372"/>
      <c r="AL30" s="366"/>
      <c r="AM30" s="366"/>
      <c r="AN30" s="372"/>
      <c r="AO30" s="373"/>
      <c r="AP30" s="372"/>
      <c r="AQ30" s="372"/>
      <c r="AR30" s="372"/>
      <c r="AS30" s="372"/>
      <c r="AT30" s="372"/>
      <c r="AU30" s="366"/>
      <c r="AV30" s="366"/>
    </row>
    <row r="31" spans="1:48" s="374" customFormat="1" ht="120" x14ac:dyDescent="0.25">
      <c r="A31" s="395">
        <v>4</v>
      </c>
      <c r="B31" s="396" t="s">
        <v>700</v>
      </c>
      <c r="C31" s="396">
        <v>1</v>
      </c>
      <c r="D31" s="397" t="str">
        <f>D29</f>
        <v>15.12.2023
30.11.2024</v>
      </c>
      <c r="E31" s="398"/>
      <c r="F31" s="398"/>
      <c r="G31" s="398">
        <f>G29</f>
        <v>1.96</v>
      </c>
      <c r="H31" s="398"/>
      <c r="I31" s="398"/>
      <c r="J31" s="398"/>
      <c r="K31" s="398">
        <f>K29</f>
        <v>28.733999999999998</v>
      </c>
      <c r="L31" s="398"/>
      <c r="M31" s="396" t="s">
        <v>817</v>
      </c>
      <c r="N31" s="396" t="s">
        <v>850</v>
      </c>
      <c r="O31" s="396" t="s">
        <v>378</v>
      </c>
      <c r="P31" s="399">
        <v>225.78</v>
      </c>
      <c r="Q31" s="396" t="s">
        <v>819</v>
      </c>
      <c r="R31" s="399">
        <v>225.78</v>
      </c>
      <c r="S31" s="396" t="s">
        <v>703</v>
      </c>
      <c r="T31" s="396" t="s">
        <v>820</v>
      </c>
      <c r="U31" s="396" t="s">
        <v>61</v>
      </c>
      <c r="V31" s="396" t="s">
        <v>61</v>
      </c>
      <c r="W31" s="400" t="s">
        <v>821</v>
      </c>
      <c r="X31" s="399">
        <v>225.78</v>
      </c>
      <c r="Y31" s="400"/>
      <c r="Z31" s="400"/>
      <c r="AA31" s="401"/>
      <c r="AB31" s="401">
        <v>225.78</v>
      </c>
      <c r="AC31" s="401" t="s">
        <v>821</v>
      </c>
      <c r="AD31" s="401">
        <f>'8. Общие сведения'!B79*1000</f>
        <v>270.93400000000003</v>
      </c>
      <c r="AE31" s="401">
        <f>AD31</f>
        <v>270.93400000000003</v>
      </c>
      <c r="AF31" s="396" t="s">
        <v>851</v>
      </c>
      <c r="AG31" s="396" t="s">
        <v>852</v>
      </c>
      <c r="AH31" s="402">
        <v>44552</v>
      </c>
      <c r="AI31" s="402">
        <v>44552</v>
      </c>
      <c r="AJ31" s="402">
        <v>44552</v>
      </c>
      <c r="AK31" s="402">
        <v>44552</v>
      </c>
      <c r="AL31" s="396" t="s">
        <v>824</v>
      </c>
      <c r="AM31" s="396" t="s">
        <v>825</v>
      </c>
      <c r="AN31" s="402" t="s">
        <v>853</v>
      </c>
      <c r="AO31" s="403" t="s">
        <v>854</v>
      </c>
      <c r="AP31" s="402" t="s">
        <v>853</v>
      </c>
      <c r="AQ31" s="402" t="s">
        <v>853</v>
      </c>
      <c r="AR31" s="402" t="s">
        <v>855</v>
      </c>
      <c r="AS31" s="402" t="s">
        <v>855</v>
      </c>
      <c r="AT31" s="402" t="s">
        <v>856</v>
      </c>
      <c r="AU31" s="396"/>
      <c r="AV31" s="396"/>
    </row>
    <row r="32" spans="1:48" s="328" customFormat="1" x14ac:dyDescent="0.25">
      <c r="A32" s="188"/>
      <c r="B32" s="189"/>
      <c r="C32" s="189"/>
      <c r="D32" s="198"/>
      <c r="E32" s="189"/>
      <c r="F32" s="189"/>
      <c r="G32" s="189"/>
      <c r="H32" s="189"/>
      <c r="I32" s="189"/>
      <c r="J32" s="189"/>
      <c r="K32" s="189"/>
      <c r="L32" s="189"/>
      <c r="M32" s="189"/>
      <c r="N32" s="189"/>
      <c r="O32" s="189"/>
      <c r="P32" s="190"/>
      <c r="Q32" s="189"/>
      <c r="R32" s="190"/>
      <c r="S32" s="189"/>
      <c r="T32" s="189"/>
      <c r="U32" s="189"/>
      <c r="V32" s="189"/>
      <c r="W32" s="186"/>
      <c r="X32" s="187"/>
      <c r="Y32" s="186"/>
      <c r="Z32" s="186"/>
      <c r="AA32" s="187"/>
      <c r="AB32" s="187"/>
      <c r="AC32" s="186"/>
      <c r="AD32" s="187"/>
      <c r="AE32" s="187"/>
      <c r="AF32" s="189"/>
      <c r="AG32" s="189"/>
      <c r="AH32" s="189"/>
      <c r="AI32" s="189"/>
      <c r="AJ32" s="191"/>
      <c r="AK32" s="191"/>
      <c r="AL32" s="189"/>
      <c r="AM32" s="189"/>
      <c r="AN32" s="189"/>
      <c r="AO32" s="189"/>
      <c r="AP32" s="189"/>
      <c r="AQ32" s="189"/>
      <c r="AR32" s="189"/>
      <c r="AS32" s="189"/>
      <c r="AT32" s="189"/>
      <c r="AU32" s="189"/>
      <c r="AV32" s="189"/>
    </row>
    <row r="33" spans="1:48" s="328" customFormat="1" x14ac:dyDescent="0.25">
      <c r="A33" s="188"/>
      <c r="B33" s="189"/>
      <c r="C33" s="189"/>
      <c r="D33" s="198"/>
      <c r="E33" s="189"/>
      <c r="F33" s="189"/>
      <c r="G33" s="189"/>
      <c r="H33" s="189"/>
      <c r="I33" s="189"/>
      <c r="J33" s="189"/>
      <c r="K33" s="189"/>
      <c r="L33" s="189"/>
      <c r="M33" s="189"/>
      <c r="N33" s="189"/>
      <c r="O33" s="189"/>
      <c r="P33" s="190"/>
      <c r="Q33" s="189"/>
      <c r="R33" s="190"/>
      <c r="S33" s="189"/>
      <c r="T33" s="189"/>
      <c r="U33" s="189"/>
      <c r="V33" s="189"/>
      <c r="W33" s="186"/>
      <c r="X33" s="187"/>
      <c r="Y33" s="186"/>
      <c r="Z33" s="186"/>
      <c r="AA33" s="187"/>
      <c r="AB33" s="187"/>
      <c r="AC33" s="186"/>
      <c r="AD33" s="187"/>
      <c r="AE33" s="187"/>
      <c r="AF33" s="189"/>
      <c r="AG33" s="189"/>
      <c r="AH33" s="189"/>
      <c r="AI33" s="189"/>
      <c r="AJ33" s="191"/>
      <c r="AK33" s="191"/>
      <c r="AL33" s="189"/>
      <c r="AM33" s="189"/>
      <c r="AN33" s="189"/>
      <c r="AO33" s="189"/>
      <c r="AP33" s="189"/>
      <c r="AQ33" s="189"/>
      <c r="AR33" s="189"/>
      <c r="AS33" s="189"/>
      <c r="AT33" s="189"/>
      <c r="AU33" s="189"/>
      <c r="AV33" s="189"/>
    </row>
    <row r="34" spans="1:48" x14ac:dyDescent="0.25">
      <c r="AD34" s="330">
        <f>SUM(AD26:AD33)</f>
        <v>6305.7926299999999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2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
  <sheetViews>
    <sheetView view="pageBreakPreview" topLeftCell="A62" zoomScale="90" zoomScaleNormal="90" zoomScaleSheetLayoutView="90" workbookViewId="0">
      <selection activeCell="B77" sqref="B77"/>
    </sheetView>
  </sheetViews>
  <sheetFormatPr defaultRowHeight="15.75" x14ac:dyDescent="0.25"/>
  <cols>
    <col min="1" max="2" width="66.140625" style="27" customWidth="1"/>
    <col min="3" max="4" width="8.85546875" style="15" hidden="1" customWidth="1"/>
    <col min="5" max="256" width="8.85546875" style="15"/>
    <col min="257" max="258" width="66.140625" style="15" customWidth="1"/>
    <col min="259" max="512" width="8.85546875" style="15"/>
    <col min="513" max="514" width="66.140625" style="15" customWidth="1"/>
    <col min="515" max="768" width="8.85546875" style="15"/>
    <col min="769" max="770" width="66.140625" style="15" customWidth="1"/>
    <col min="771" max="1024" width="8.85546875" style="15"/>
    <col min="1025" max="1026" width="66.140625" style="15" customWidth="1"/>
    <col min="1027" max="1280" width="8.85546875" style="15"/>
    <col min="1281" max="1282" width="66.140625" style="15" customWidth="1"/>
    <col min="1283" max="1536" width="8.85546875" style="15"/>
    <col min="1537" max="1538" width="66.140625" style="15" customWidth="1"/>
    <col min="1539" max="1792" width="8.85546875" style="15"/>
    <col min="1793" max="1794" width="66.140625" style="15" customWidth="1"/>
    <col min="1795" max="2048" width="8.85546875" style="15"/>
    <col min="2049" max="2050" width="66.140625" style="15" customWidth="1"/>
    <col min="2051" max="2304" width="8.85546875" style="15"/>
    <col min="2305" max="2306" width="66.140625" style="15" customWidth="1"/>
    <col min="2307" max="2560" width="8.85546875" style="15"/>
    <col min="2561" max="2562" width="66.140625" style="15" customWidth="1"/>
    <col min="2563" max="2816" width="8.85546875" style="15"/>
    <col min="2817" max="2818" width="66.140625" style="15" customWidth="1"/>
    <col min="2819" max="3072" width="8.85546875" style="15"/>
    <col min="3073" max="3074" width="66.140625" style="15" customWidth="1"/>
    <col min="3075" max="3328" width="8.85546875" style="15"/>
    <col min="3329" max="3330" width="66.140625" style="15" customWidth="1"/>
    <col min="3331" max="3584" width="8.85546875" style="15"/>
    <col min="3585" max="3586" width="66.140625" style="15" customWidth="1"/>
    <col min="3587" max="3840" width="8.85546875" style="15"/>
    <col min="3841" max="3842" width="66.140625" style="15" customWidth="1"/>
    <col min="3843" max="4096" width="8.85546875" style="15"/>
    <col min="4097" max="4098" width="66.140625" style="15" customWidth="1"/>
    <col min="4099" max="4352" width="8.85546875" style="15"/>
    <col min="4353" max="4354" width="66.140625" style="15" customWidth="1"/>
    <col min="4355" max="4608" width="8.85546875" style="15"/>
    <col min="4609" max="4610" width="66.140625" style="15" customWidth="1"/>
    <col min="4611" max="4864" width="8.85546875" style="15"/>
    <col min="4865" max="4866" width="66.140625" style="15" customWidth="1"/>
    <col min="4867" max="5120" width="8.85546875" style="15"/>
    <col min="5121" max="5122" width="66.140625" style="15" customWidth="1"/>
    <col min="5123" max="5376" width="8.85546875" style="15"/>
    <col min="5377" max="5378" width="66.140625" style="15" customWidth="1"/>
    <col min="5379" max="5632" width="8.85546875" style="15"/>
    <col min="5633" max="5634" width="66.140625" style="15" customWidth="1"/>
    <col min="5635" max="5888" width="8.85546875" style="15"/>
    <col min="5889" max="5890" width="66.140625" style="15" customWidth="1"/>
    <col min="5891" max="6144" width="8.85546875" style="15"/>
    <col min="6145" max="6146" width="66.140625" style="15" customWidth="1"/>
    <col min="6147" max="6400" width="8.85546875" style="15"/>
    <col min="6401" max="6402" width="66.140625" style="15" customWidth="1"/>
    <col min="6403" max="6656" width="8.85546875" style="15"/>
    <col min="6657" max="6658" width="66.140625" style="15" customWidth="1"/>
    <col min="6659" max="6912" width="8.85546875" style="15"/>
    <col min="6913" max="6914" width="66.140625" style="15" customWidth="1"/>
    <col min="6915" max="7168" width="8.85546875" style="15"/>
    <col min="7169" max="7170" width="66.140625" style="15" customWidth="1"/>
    <col min="7171" max="7424" width="8.85546875" style="15"/>
    <col min="7425" max="7426" width="66.140625" style="15" customWidth="1"/>
    <col min="7427" max="7680" width="8.85546875" style="15"/>
    <col min="7681" max="7682" width="66.140625" style="15" customWidth="1"/>
    <col min="7683" max="7936" width="8.85546875" style="15"/>
    <col min="7937" max="7938" width="66.140625" style="15" customWidth="1"/>
    <col min="7939" max="8192" width="8.85546875" style="15"/>
    <col min="8193" max="8194" width="66.140625" style="15" customWidth="1"/>
    <col min="8195" max="8448" width="8.85546875" style="15"/>
    <col min="8449" max="8450" width="66.140625" style="15" customWidth="1"/>
    <col min="8451" max="8704" width="8.85546875" style="15"/>
    <col min="8705" max="8706" width="66.140625" style="15" customWidth="1"/>
    <col min="8707" max="8960" width="8.85546875" style="15"/>
    <col min="8961" max="8962" width="66.140625" style="15" customWidth="1"/>
    <col min="8963" max="9216" width="8.85546875" style="15"/>
    <col min="9217" max="9218" width="66.140625" style="15" customWidth="1"/>
    <col min="9219" max="9472" width="8.85546875" style="15"/>
    <col min="9473" max="9474" width="66.140625" style="15" customWidth="1"/>
    <col min="9475" max="9728" width="8.85546875" style="15"/>
    <col min="9729" max="9730" width="66.140625" style="15" customWidth="1"/>
    <col min="9731" max="9984" width="8.85546875" style="15"/>
    <col min="9985" max="9986" width="66.140625" style="15" customWidth="1"/>
    <col min="9987" max="10240" width="8.85546875" style="15"/>
    <col min="10241" max="10242" width="66.140625" style="15" customWidth="1"/>
    <col min="10243" max="10496" width="8.85546875" style="15"/>
    <col min="10497" max="10498" width="66.140625" style="15" customWidth="1"/>
    <col min="10499" max="10752" width="8.85546875" style="15"/>
    <col min="10753" max="10754" width="66.140625" style="15" customWidth="1"/>
    <col min="10755" max="11008" width="8.85546875" style="15"/>
    <col min="11009" max="11010" width="66.140625" style="15" customWidth="1"/>
    <col min="11011" max="11264" width="8.85546875" style="15"/>
    <col min="11265" max="11266" width="66.140625" style="15" customWidth="1"/>
    <col min="11267" max="11520" width="8.85546875" style="15"/>
    <col min="11521" max="11522" width="66.140625" style="15" customWidth="1"/>
    <col min="11523" max="11776" width="8.85546875" style="15"/>
    <col min="11777" max="11778" width="66.140625" style="15" customWidth="1"/>
    <col min="11779" max="12032" width="8.85546875" style="15"/>
    <col min="12033" max="12034" width="66.140625" style="15" customWidth="1"/>
    <col min="12035" max="12288" width="8.85546875" style="15"/>
    <col min="12289" max="12290" width="66.140625" style="15" customWidth="1"/>
    <col min="12291" max="12544" width="8.85546875" style="15"/>
    <col min="12545" max="12546" width="66.140625" style="15" customWidth="1"/>
    <col min="12547" max="12800" width="8.85546875" style="15"/>
    <col min="12801" max="12802" width="66.140625" style="15" customWidth="1"/>
    <col min="12803" max="13056" width="8.85546875" style="15"/>
    <col min="13057" max="13058" width="66.140625" style="15" customWidth="1"/>
    <col min="13059" max="13312" width="8.85546875" style="15"/>
    <col min="13313" max="13314" width="66.140625" style="15" customWidth="1"/>
    <col min="13315" max="13568" width="8.85546875" style="15"/>
    <col min="13569" max="13570" width="66.140625" style="15" customWidth="1"/>
    <col min="13571" max="13824" width="8.85546875" style="15"/>
    <col min="13825" max="13826" width="66.140625" style="15" customWidth="1"/>
    <col min="13827" max="14080" width="8.85546875" style="15"/>
    <col min="14081" max="14082" width="66.140625" style="15" customWidth="1"/>
    <col min="14083" max="14336" width="8.85546875" style="15"/>
    <col min="14337" max="14338" width="66.140625" style="15" customWidth="1"/>
    <col min="14339" max="14592" width="8.85546875" style="15"/>
    <col min="14593" max="14594" width="66.140625" style="15" customWidth="1"/>
    <col min="14595" max="14848" width="8.85546875" style="15"/>
    <col min="14849" max="14850" width="66.140625" style="15" customWidth="1"/>
    <col min="14851" max="15104" width="8.85546875" style="15"/>
    <col min="15105" max="15106" width="66.140625" style="15" customWidth="1"/>
    <col min="15107" max="15360" width="8.85546875" style="15"/>
    <col min="15361" max="15362" width="66.140625" style="15" customWidth="1"/>
    <col min="15363" max="15616" width="8.85546875" style="15"/>
    <col min="15617" max="15618" width="66.140625" style="15" customWidth="1"/>
    <col min="15619" max="15872" width="8.85546875" style="15"/>
    <col min="15873" max="15874" width="66.140625" style="15" customWidth="1"/>
    <col min="15875" max="16128" width="8.85546875" style="15"/>
    <col min="16129" max="16130" width="66.140625" style="15" customWidth="1"/>
    <col min="16131" max="16384" width="8.85546875" style="15"/>
  </cols>
  <sheetData>
    <row r="1" spans="1:8" ht="18.75" x14ac:dyDescent="0.25">
      <c r="B1" s="4" t="s">
        <v>65</v>
      </c>
    </row>
    <row r="2" spans="1:8" ht="18.75" x14ac:dyDescent="0.3">
      <c r="B2" s="1" t="s">
        <v>7</v>
      </c>
    </row>
    <row r="3" spans="1:8" ht="18.75" x14ac:dyDescent="0.3">
      <c r="B3" s="1" t="s">
        <v>377</v>
      </c>
    </row>
    <row r="4" spans="1:8" x14ac:dyDescent="0.25">
      <c r="B4" s="5"/>
    </row>
    <row r="5" spans="1:8" ht="18.75" x14ac:dyDescent="0.3">
      <c r="A5" s="558" t="str">
        <f>'2. паспорт  ТП'!A4:S4</f>
        <v>Год раскрытия информации: 2023 год</v>
      </c>
      <c r="B5" s="558"/>
      <c r="C5" s="24"/>
      <c r="D5" s="24"/>
      <c r="E5" s="24"/>
      <c r="F5" s="24"/>
      <c r="G5" s="24"/>
      <c r="H5" s="24"/>
    </row>
    <row r="6" spans="1:8" ht="18.75" x14ac:dyDescent="0.3">
      <c r="A6" s="67"/>
      <c r="B6" s="67"/>
      <c r="C6" s="67"/>
      <c r="D6" s="67"/>
      <c r="E6" s="67"/>
      <c r="F6" s="67"/>
      <c r="G6" s="67"/>
      <c r="H6" s="67"/>
    </row>
    <row r="7" spans="1:8" ht="18.75" x14ac:dyDescent="0.25">
      <c r="A7" s="411" t="s">
        <v>6</v>
      </c>
      <c r="B7" s="411"/>
      <c r="C7" s="71"/>
      <c r="D7" s="71"/>
      <c r="E7" s="71"/>
      <c r="F7" s="71"/>
      <c r="G7" s="71"/>
      <c r="H7" s="71"/>
    </row>
    <row r="8" spans="1:8" ht="18.75" x14ac:dyDescent="0.25">
      <c r="A8" s="71"/>
      <c r="B8" s="71"/>
      <c r="C8" s="71"/>
      <c r="D8" s="71"/>
      <c r="E8" s="71"/>
      <c r="F8" s="71"/>
      <c r="G8" s="71"/>
      <c r="H8" s="71"/>
    </row>
    <row r="9" spans="1:8" x14ac:dyDescent="0.25">
      <c r="A9" s="414" t="str">
        <f>'1. паспорт местоположение'!A9:C9</f>
        <v>Акционерное общество "Россети Янтарь"</v>
      </c>
      <c r="B9" s="414"/>
      <c r="C9" s="73"/>
      <c r="D9" s="73"/>
      <c r="E9" s="73"/>
      <c r="F9" s="73"/>
      <c r="G9" s="73"/>
      <c r="H9" s="73"/>
    </row>
    <row r="10" spans="1:8" x14ac:dyDescent="0.25">
      <c r="A10" s="412" t="s">
        <v>5</v>
      </c>
      <c r="B10" s="412"/>
      <c r="C10" s="74"/>
      <c r="D10" s="74"/>
      <c r="E10" s="74"/>
      <c r="F10" s="74"/>
      <c r="G10" s="74"/>
      <c r="H10" s="74"/>
    </row>
    <row r="11" spans="1:8" ht="18.75" x14ac:dyDescent="0.25">
      <c r="A11" s="71"/>
      <c r="B11" s="71"/>
      <c r="C11" s="71"/>
      <c r="D11" s="71"/>
      <c r="E11" s="71"/>
      <c r="F11" s="71"/>
      <c r="G11" s="71"/>
      <c r="H11" s="71"/>
    </row>
    <row r="12" spans="1:8" x14ac:dyDescent="0.25">
      <c r="A12" s="414" t="str">
        <f>'1. паспорт местоположение'!A12:C12</f>
        <v>L_19-1035</v>
      </c>
      <c r="B12" s="414"/>
      <c r="C12" s="73"/>
      <c r="D12" s="73"/>
      <c r="E12" s="73"/>
      <c r="F12" s="73"/>
      <c r="G12" s="73"/>
      <c r="H12" s="73"/>
    </row>
    <row r="13" spans="1:8" x14ac:dyDescent="0.25">
      <c r="A13" s="412" t="s">
        <v>4</v>
      </c>
      <c r="B13" s="412"/>
      <c r="C13" s="74"/>
      <c r="D13" s="74"/>
      <c r="E13" s="74"/>
      <c r="F13" s="74"/>
      <c r="G13" s="74"/>
      <c r="H13" s="74"/>
    </row>
    <row r="14" spans="1:8" ht="18.75" x14ac:dyDescent="0.25">
      <c r="A14" s="108"/>
      <c r="B14" s="108"/>
      <c r="C14" s="108"/>
      <c r="D14" s="108"/>
      <c r="E14" s="108"/>
      <c r="F14" s="108"/>
      <c r="G14" s="108"/>
      <c r="H14" s="108"/>
    </row>
    <row r="15" spans="1:8" ht="144.75" customHeight="1" x14ac:dyDescent="0.25">
      <c r="A15" s="552" t="str">
        <f>'1. паспорт местоположение'!A15:C15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48"/>
      <c r="C15" s="73"/>
      <c r="D15" s="73"/>
      <c r="E15" s="73"/>
      <c r="F15" s="73"/>
      <c r="G15" s="73"/>
      <c r="H15" s="73"/>
    </row>
    <row r="16" spans="1:8" x14ac:dyDescent="0.25">
      <c r="A16" s="412" t="s">
        <v>3</v>
      </c>
      <c r="B16" s="412"/>
      <c r="C16" s="74"/>
      <c r="D16" s="74"/>
      <c r="E16" s="74"/>
      <c r="F16" s="74"/>
      <c r="G16" s="74"/>
      <c r="H16" s="74"/>
    </row>
    <row r="17" spans="1:2" x14ac:dyDescent="0.25">
      <c r="B17" s="28"/>
    </row>
    <row r="18" spans="1:2" x14ac:dyDescent="0.25">
      <c r="A18" s="553" t="s">
        <v>362</v>
      </c>
      <c r="B18" s="554"/>
    </row>
    <row r="19" spans="1:2" x14ac:dyDescent="0.25">
      <c r="B19" s="5"/>
    </row>
    <row r="20" spans="1:2" ht="16.5" thickBot="1" x14ac:dyDescent="0.3">
      <c r="B20" s="29"/>
    </row>
    <row r="21" spans="1:2" ht="195.75" thickBot="1" x14ac:dyDescent="0.3">
      <c r="A21" s="30" t="s">
        <v>267</v>
      </c>
      <c r="B21" s="52" t="str">
        <f>A15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row>
    <row r="22" spans="1:2" ht="16.5" thickBot="1" x14ac:dyDescent="0.3">
      <c r="A22" s="30" t="s">
        <v>268</v>
      </c>
      <c r="B22" s="53" t="str">
        <f>CONCATENATE('[2]1. паспорт местоположение'!C26,", ",'[2]1. паспорт местоположение'!C27)</f>
        <v>Калининградская область, Городской округ "Город Калининград"</v>
      </c>
    </row>
    <row r="23" spans="1:2" ht="16.5" thickBot="1" x14ac:dyDescent="0.3">
      <c r="A23" s="30" t="s">
        <v>254</v>
      </c>
      <c r="B23" s="54" t="s">
        <v>402</v>
      </c>
    </row>
    <row r="24" spans="1:2" ht="16.5" thickBot="1" x14ac:dyDescent="0.3">
      <c r="A24" s="30" t="s">
        <v>269</v>
      </c>
      <c r="B24" s="55" t="s">
        <v>813</v>
      </c>
    </row>
    <row r="25" spans="1:2" ht="16.5" thickBot="1" x14ac:dyDescent="0.3">
      <c r="A25" s="31" t="s">
        <v>270</v>
      </c>
      <c r="B25" s="56" t="s">
        <v>876</v>
      </c>
    </row>
    <row r="26" spans="1:2" ht="16.5" thickBot="1" x14ac:dyDescent="0.3">
      <c r="A26" s="32" t="s">
        <v>271</v>
      </c>
      <c r="B26" s="57" t="s">
        <v>814</v>
      </c>
    </row>
    <row r="27" spans="1:2" ht="29.25" thickBot="1" x14ac:dyDescent="0.3">
      <c r="A27" s="38" t="s">
        <v>877</v>
      </c>
      <c r="B27" s="199">
        <f>'[2]6.2. Паспорт фин осв ввод'!D24</f>
        <v>248.21883817</v>
      </c>
    </row>
    <row r="28" spans="1:2" ht="16.5" thickBot="1" x14ac:dyDescent="0.3">
      <c r="A28" s="34" t="s">
        <v>272</v>
      </c>
      <c r="B28" s="200" t="s">
        <v>716</v>
      </c>
    </row>
    <row r="29" spans="1:2" ht="29.25" thickBot="1" x14ac:dyDescent="0.3">
      <c r="A29" s="39" t="s">
        <v>539</v>
      </c>
      <c r="B29" s="212">
        <f>'[2]7. Паспорт отчет о закупке'!AD37/1000</f>
        <v>6.30579263</v>
      </c>
    </row>
    <row r="30" spans="1:2" ht="29.25" thickBot="1" x14ac:dyDescent="0.3">
      <c r="A30" s="39" t="s">
        <v>695</v>
      </c>
      <c r="B30" s="199">
        <f>B32+B49+B66</f>
        <v>6.3057926299999991</v>
      </c>
    </row>
    <row r="31" spans="1:2" ht="16.5" thickBot="1" x14ac:dyDescent="0.3">
      <c r="A31" s="34" t="s">
        <v>273</v>
      </c>
      <c r="B31" s="313"/>
    </row>
    <row r="32" spans="1:2" ht="29.25" thickBot="1" x14ac:dyDescent="0.3">
      <c r="A32" s="39" t="s">
        <v>274</v>
      </c>
      <c r="B32" s="199">
        <f>SUMIF(C33:C48,10,B33:B48)</f>
        <v>0</v>
      </c>
    </row>
    <row r="33" spans="1:4" s="137" customFormat="1" ht="16.5" thickBot="1" x14ac:dyDescent="0.3">
      <c r="A33" s="58" t="s">
        <v>696</v>
      </c>
      <c r="B33" s="314"/>
      <c r="C33" s="15">
        <v>10</v>
      </c>
      <c r="D33" s="15"/>
    </row>
    <row r="34" spans="1:4" ht="16.5" thickBot="1" x14ac:dyDescent="0.3">
      <c r="A34" s="34" t="s">
        <v>275</v>
      </c>
      <c r="B34" s="59">
        <f>B33/$B$27</f>
        <v>0</v>
      </c>
    </row>
    <row r="35" spans="1:4" ht="16.5" thickBot="1" x14ac:dyDescent="0.3">
      <c r="A35" s="34" t="s">
        <v>697</v>
      </c>
      <c r="B35" s="199"/>
      <c r="C35" s="15">
        <v>1</v>
      </c>
    </row>
    <row r="36" spans="1:4" ht="16.5" thickBot="1" x14ac:dyDescent="0.3">
      <c r="A36" s="34" t="s">
        <v>698</v>
      </c>
      <c r="B36" s="199"/>
      <c r="C36" s="15">
        <v>2</v>
      </c>
    </row>
    <row r="37" spans="1:4" s="137" customFormat="1" ht="16.5" thickBot="1" x14ac:dyDescent="0.3">
      <c r="A37" s="58" t="s">
        <v>696</v>
      </c>
      <c r="B37" s="314"/>
      <c r="C37" s="15">
        <v>10</v>
      </c>
      <c r="D37" s="15"/>
    </row>
    <row r="38" spans="1:4" ht="16.5" thickBot="1" x14ac:dyDescent="0.3">
      <c r="A38" s="34" t="s">
        <v>275</v>
      </c>
      <c r="B38" s="59">
        <f t="shared" ref="B38" si="0">B37/$B$27</f>
        <v>0</v>
      </c>
    </row>
    <row r="39" spans="1:4" ht="16.5" thickBot="1" x14ac:dyDescent="0.3">
      <c r="A39" s="34" t="s">
        <v>697</v>
      </c>
      <c r="B39" s="199"/>
      <c r="C39" s="15">
        <v>1</v>
      </c>
    </row>
    <row r="40" spans="1:4" ht="16.5" thickBot="1" x14ac:dyDescent="0.3">
      <c r="A40" s="34" t="s">
        <v>698</v>
      </c>
      <c r="B40" s="199"/>
      <c r="C40" s="15">
        <v>2</v>
      </c>
    </row>
    <row r="41" spans="1:4" ht="16.5" thickBot="1" x14ac:dyDescent="0.3">
      <c r="A41" s="58" t="s">
        <v>696</v>
      </c>
      <c r="B41" s="314"/>
      <c r="C41" s="15">
        <v>10</v>
      </c>
    </row>
    <row r="42" spans="1:4" ht="16.5" thickBot="1" x14ac:dyDescent="0.3">
      <c r="A42" s="34" t="s">
        <v>275</v>
      </c>
      <c r="B42" s="59">
        <f t="shared" ref="B42" si="1">B41/$B$27</f>
        <v>0</v>
      </c>
    </row>
    <row r="43" spans="1:4" ht="16.5" thickBot="1" x14ac:dyDescent="0.3">
      <c r="A43" s="34" t="s">
        <v>697</v>
      </c>
      <c r="B43" s="199"/>
      <c r="C43" s="15">
        <v>1</v>
      </c>
    </row>
    <row r="44" spans="1:4" ht="16.5" thickBot="1" x14ac:dyDescent="0.3">
      <c r="A44" s="34" t="s">
        <v>698</v>
      </c>
      <c r="B44" s="199"/>
      <c r="C44" s="15">
        <v>2</v>
      </c>
    </row>
    <row r="45" spans="1:4" ht="16.5" thickBot="1" x14ac:dyDescent="0.3">
      <c r="A45" s="58" t="s">
        <v>696</v>
      </c>
      <c r="B45" s="314"/>
      <c r="C45" s="15">
        <v>10</v>
      </c>
    </row>
    <row r="46" spans="1:4" ht="16.5" thickBot="1" x14ac:dyDescent="0.3">
      <c r="A46" s="34" t="s">
        <v>275</v>
      </c>
      <c r="B46" s="59">
        <f t="shared" ref="B46" si="2">B45/$B$27</f>
        <v>0</v>
      </c>
    </row>
    <row r="47" spans="1:4" ht="16.5" thickBot="1" x14ac:dyDescent="0.3">
      <c r="A47" s="34" t="s">
        <v>697</v>
      </c>
      <c r="B47" s="199"/>
      <c r="C47" s="15">
        <v>1</v>
      </c>
    </row>
    <row r="48" spans="1:4" ht="16.5" thickBot="1" x14ac:dyDescent="0.3">
      <c r="A48" s="34" t="s">
        <v>698</v>
      </c>
      <c r="B48" s="199"/>
      <c r="C48" s="15">
        <v>2</v>
      </c>
    </row>
    <row r="49" spans="1:4" ht="29.25" thickBot="1" x14ac:dyDescent="0.3">
      <c r="A49" s="39" t="s">
        <v>276</v>
      </c>
      <c r="B49" s="199">
        <f>SUMIF(C50:C65,20,B50:B65)</f>
        <v>0</v>
      </c>
    </row>
    <row r="50" spans="1:4" ht="16.5" thickBot="1" x14ac:dyDescent="0.3">
      <c r="A50" s="58" t="s">
        <v>696</v>
      </c>
      <c r="B50" s="314"/>
      <c r="C50" s="15">
        <v>20</v>
      </c>
    </row>
    <row r="51" spans="1:4" ht="16.5" thickBot="1" x14ac:dyDescent="0.3">
      <c r="A51" s="34" t="s">
        <v>275</v>
      </c>
      <c r="B51" s="59">
        <f>B50/$B$27</f>
        <v>0</v>
      </c>
    </row>
    <row r="52" spans="1:4" ht="16.5" thickBot="1" x14ac:dyDescent="0.3">
      <c r="A52" s="34" t="s">
        <v>697</v>
      </c>
      <c r="B52" s="199"/>
      <c r="C52" s="15">
        <v>1</v>
      </c>
    </row>
    <row r="53" spans="1:4" ht="16.5" thickBot="1" x14ac:dyDescent="0.3">
      <c r="A53" s="34" t="s">
        <v>698</v>
      </c>
      <c r="B53" s="199"/>
      <c r="C53" s="15">
        <v>2</v>
      </c>
    </row>
    <row r="54" spans="1:4" s="137" customFormat="1" ht="16.5" thickBot="1" x14ac:dyDescent="0.3">
      <c r="A54" s="58" t="s">
        <v>696</v>
      </c>
      <c r="B54" s="314"/>
      <c r="C54" s="15">
        <v>20</v>
      </c>
      <c r="D54" s="15"/>
    </row>
    <row r="55" spans="1:4" ht="16.5" thickBot="1" x14ac:dyDescent="0.3">
      <c r="A55" s="34" t="s">
        <v>275</v>
      </c>
      <c r="B55" s="59">
        <f t="shared" ref="B55" si="3">B54/$B$27</f>
        <v>0</v>
      </c>
    </row>
    <row r="56" spans="1:4" ht="16.5" thickBot="1" x14ac:dyDescent="0.3">
      <c r="A56" s="34" t="s">
        <v>697</v>
      </c>
      <c r="B56" s="199"/>
      <c r="C56" s="15">
        <v>1</v>
      </c>
    </row>
    <row r="57" spans="1:4" ht="16.5" thickBot="1" x14ac:dyDescent="0.3">
      <c r="A57" s="34" t="s">
        <v>698</v>
      </c>
      <c r="B57" s="199"/>
      <c r="C57" s="15">
        <v>2</v>
      </c>
    </row>
    <row r="58" spans="1:4" s="137" customFormat="1" ht="16.5" thickBot="1" x14ac:dyDescent="0.3">
      <c r="A58" s="58" t="s">
        <v>696</v>
      </c>
      <c r="B58" s="314"/>
      <c r="C58" s="15">
        <v>20</v>
      </c>
      <c r="D58" s="15"/>
    </row>
    <row r="59" spans="1:4" ht="16.5" thickBot="1" x14ac:dyDescent="0.3">
      <c r="A59" s="34" t="s">
        <v>275</v>
      </c>
      <c r="B59" s="59">
        <f t="shared" ref="B59" si="4">B58/$B$27</f>
        <v>0</v>
      </c>
    </row>
    <row r="60" spans="1:4" ht="16.5" thickBot="1" x14ac:dyDescent="0.3">
      <c r="A60" s="34" t="s">
        <v>697</v>
      </c>
      <c r="B60" s="199"/>
      <c r="C60" s="15">
        <v>1</v>
      </c>
    </row>
    <row r="61" spans="1:4" ht="16.5" thickBot="1" x14ac:dyDescent="0.3">
      <c r="A61" s="34" t="s">
        <v>698</v>
      </c>
      <c r="B61" s="199"/>
      <c r="C61" s="15">
        <v>2</v>
      </c>
    </row>
    <row r="62" spans="1:4" s="137" customFormat="1" ht="16.5" thickBot="1" x14ac:dyDescent="0.3">
      <c r="A62" s="58" t="s">
        <v>696</v>
      </c>
      <c r="B62" s="314"/>
      <c r="C62" s="15">
        <v>20</v>
      </c>
      <c r="D62" s="15"/>
    </row>
    <row r="63" spans="1:4" ht="16.5" thickBot="1" x14ac:dyDescent="0.3">
      <c r="A63" s="34" t="s">
        <v>275</v>
      </c>
      <c r="B63" s="59">
        <f t="shared" ref="B63" si="5">B62/$B$27</f>
        <v>0</v>
      </c>
    </row>
    <row r="64" spans="1:4" ht="16.5" thickBot="1" x14ac:dyDescent="0.3">
      <c r="A64" s="34" t="s">
        <v>697</v>
      </c>
      <c r="B64" s="199"/>
      <c r="C64" s="15">
        <v>1</v>
      </c>
    </row>
    <row r="65" spans="1:4" ht="16.5" thickBot="1" x14ac:dyDescent="0.3">
      <c r="A65" s="34" t="s">
        <v>698</v>
      </c>
      <c r="B65" s="199"/>
      <c r="C65" s="15">
        <v>2</v>
      </c>
    </row>
    <row r="66" spans="1:4" s="137" customFormat="1" ht="29.25" thickBot="1" x14ac:dyDescent="0.3">
      <c r="A66" s="39" t="s">
        <v>277</v>
      </c>
      <c r="B66" s="199">
        <f>SUMIF(C67:C86,30,B67:B86)</f>
        <v>6.3057926299999991</v>
      </c>
      <c r="C66" s="15"/>
      <c r="D66" s="15"/>
    </row>
    <row r="67" spans="1:4" ht="45.75" thickBot="1" x14ac:dyDescent="0.3">
      <c r="A67" s="392" t="s">
        <v>714</v>
      </c>
      <c r="B67" s="393">
        <v>5.1182436300000003</v>
      </c>
      <c r="C67" s="15">
        <v>30</v>
      </c>
    </row>
    <row r="68" spans="1:4" ht="16.5" thickBot="1" x14ac:dyDescent="0.3">
      <c r="A68" s="34" t="s">
        <v>275</v>
      </c>
      <c r="B68" s="59">
        <f t="shared" ref="B68" si="6">B67/$B$27</f>
        <v>2.061988392071443E-2</v>
      </c>
    </row>
    <row r="69" spans="1:4" ht="16.5" thickBot="1" x14ac:dyDescent="0.3">
      <c r="A69" s="34" t="s">
        <v>697</v>
      </c>
      <c r="B69" s="199">
        <f>3823660.9/1000000</f>
        <v>3.8236608999999997</v>
      </c>
      <c r="C69" s="15">
        <v>1</v>
      </c>
    </row>
    <row r="70" spans="1:4" ht="16.5" thickBot="1" x14ac:dyDescent="0.3">
      <c r="A70" s="34" t="s">
        <v>698</v>
      </c>
      <c r="B70" s="199">
        <v>5.1182436300000003</v>
      </c>
      <c r="C70" s="15">
        <v>2</v>
      </c>
    </row>
    <row r="71" spans="1:4" s="137" customFormat="1" ht="30.75" thickBot="1" x14ac:dyDescent="0.3">
      <c r="A71" s="392" t="s">
        <v>815</v>
      </c>
      <c r="B71" s="393">
        <v>1.35E-2</v>
      </c>
      <c r="C71" s="15">
        <v>30</v>
      </c>
      <c r="D71" s="15"/>
    </row>
    <row r="72" spans="1:4" ht="16.5" thickBot="1" x14ac:dyDescent="0.3">
      <c r="A72" s="34" t="s">
        <v>275</v>
      </c>
      <c r="B72" s="59">
        <f t="shared" ref="B72" si="7">B71/$B$27</f>
        <v>5.4387491696960267E-5</v>
      </c>
    </row>
    <row r="73" spans="1:4" ht="16.5" thickBot="1" x14ac:dyDescent="0.3">
      <c r="A73" s="34" t="s">
        <v>697</v>
      </c>
      <c r="B73" s="199">
        <v>1.35E-2</v>
      </c>
      <c r="C73" s="15">
        <v>1</v>
      </c>
    </row>
    <row r="74" spans="1:4" ht="16.5" thickBot="1" x14ac:dyDescent="0.3">
      <c r="A74" s="34" t="s">
        <v>698</v>
      </c>
      <c r="B74" s="199">
        <v>1.35E-2</v>
      </c>
      <c r="C74" s="15">
        <v>2</v>
      </c>
    </row>
    <row r="75" spans="1:4" s="137" customFormat="1" ht="45.75" thickBot="1" x14ac:dyDescent="0.3">
      <c r="A75" s="392" t="s">
        <v>816</v>
      </c>
      <c r="B75" s="393">
        <v>0.903115</v>
      </c>
      <c r="C75" s="15">
        <v>30</v>
      </c>
      <c r="D75" s="15"/>
    </row>
    <row r="76" spans="1:4" ht="16.5" thickBot="1" x14ac:dyDescent="0.3">
      <c r="A76" s="34" t="s">
        <v>275</v>
      </c>
      <c r="B76" s="59">
        <f t="shared" ref="B76" si="8">B75/$B$27</f>
        <v>3.6383821899185387E-3</v>
      </c>
    </row>
    <row r="77" spans="1:4" ht="16.5" thickBot="1" x14ac:dyDescent="0.3">
      <c r="A77" s="34" t="s">
        <v>697</v>
      </c>
      <c r="B77" s="199">
        <v>0.903115</v>
      </c>
      <c r="C77" s="15">
        <v>1</v>
      </c>
    </row>
    <row r="78" spans="1:4" ht="16.5" thickBot="1" x14ac:dyDescent="0.3">
      <c r="A78" s="34" t="s">
        <v>698</v>
      </c>
      <c r="B78" s="199">
        <v>0.903115</v>
      </c>
      <c r="C78" s="15">
        <v>2</v>
      </c>
    </row>
    <row r="79" spans="1:4" s="137" customFormat="1" ht="45.75" thickBot="1" x14ac:dyDescent="0.3">
      <c r="A79" s="392" t="s">
        <v>849</v>
      </c>
      <c r="B79" s="393">
        <f>270934/1000000</f>
        <v>0.27093400000000001</v>
      </c>
      <c r="C79" s="15">
        <v>30</v>
      </c>
      <c r="D79" s="15"/>
    </row>
    <row r="80" spans="1:4" ht="16.5" thickBot="1" x14ac:dyDescent="0.3">
      <c r="A80" s="34" t="s">
        <v>275</v>
      </c>
      <c r="B80" s="59">
        <f t="shared" ref="B80" si="9">B79/$B$27</f>
        <v>1.0915126426240174E-3</v>
      </c>
    </row>
    <row r="81" spans="1:4" ht="16.5" thickBot="1" x14ac:dyDescent="0.3">
      <c r="A81" s="34" t="s">
        <v>697</v>
      </c>
      <c r="B81" s="199">
        <v>0.27093400000000001</v>
      </c>
      <c r="C81" s="15">
        <v>1</v>
      </c>
    </row>
    <row r="82" spans="1:4" ht="16.5" thickBot="1" x14ac:dyDescent="0.3">
      <c r="A82" s="34" t="s">
        <v>698</v>
      </c>
      <c r="B82" s="199">
        <v>0.27093400000000001</v>
      </c>
      <c r="C82" s="15">
        <v>2</v>
      </c>
    </row>
    <row r="83" spans="1:4" s="137" customFormat="1" ht="16.5" thickBot="1" x14ac:dyDescent="0.3">
      <c r="A83" s="58" t="s">
        <v>696</v>
      </c>
      <c r="B83" s="314"/>
      <c r="C83" s="15">
        <v>30</v>
      </c>
      <c r="D83" s="15"/>
    </row>
    <row r="84" spans="1:4" ht="16.5" thickBot="1" x14ac:dyDescent="0.3">
      <c r="A84" s="34" t="s">
        <v>275</v>
      </c>
      <c r="B84" s="59">
        <f t="shared" ref="B84" si="10">B83/$B$27</f>
        <v>0</v>
      </c>
    </row>
    <row r="85" spans="1:4" ht="16.5" thickBot="1" x14ac:dyDescent="0.3">
      <c r="A85" s="34" t="s">
        <v>697</v>
      </c>
      <c r="B85" s="199"/>
      <c r="C85" s="15">
        <v>1</v>
      </c>
    </row>
    <row r="86" spans="1:4" ht="16.5" thickBot="1" x14ac:dyDescent="0.3">
      <c r="A86" s="34" t="s">
        <v>698</v>
      </c>
      <c r="B86" s="199"/>
      <c r="C86" s="15">
        <v>2</v>
      </c>
    </row>
    <row r="87" spans="1:4" s="137" customFormat="1" ht="29.25" thickBot="1" x14ac:dyDescent="0.3">
      <c r="A87" s="33" t="s">
        <v>278</v>
      </c>
      <c r="B87" s="315">
        <f>B30/B27</f>
        <v>2.5404166244953941E-2</v>
      </c>
      <c r="C87" s="15"/>
      <c r="D87" s="15"/>
    </row>
    <row r="88" spans="1:4" ht="16.5" thickBot="1" x14ac:dyDescent="0.3">
      <c r="A88" s="35" t="s">
        <v>273</v>
      </c>
      <c r="B88" s="316"/>
    </row>
    <row r="89" spans="1:4" ht="16.5" thickBot="1" x14ac:dyDescent="0.3">
      <c r="A89" s="35" t="s">
        <v>279</v>
      </c>
      <c r="B89" s="315"/>
    </row>
    <row r="90" spans="1:4" ht="16.5" thickBot="1" x14ac:dyDescent="0.3">
      <c r="A90" s="35" t="s">
        <v>280</v>
      </c>
      <c r="B90" s="315"/>
    </row>
    <row r="91" spans="1:4" s="137" customFormat="1" ht="16.5" thickBot="1" x14ac:dyDescent="0.3">
      <c r="A91" s="35" t="s">
        <v>281</v>
      </c>
      <c r="B91" s="315"/>
      <c r="C91" s="15"/>
      <c r="D91" s="15"/>
    </row>
    <row r="92" spans="1:4" ht="16.5" thickBot="1" x14ac:dyDescent="0.3">
      <c r="A92" s="31" t="s">
        <v>282</v>
      </c>
      <c r="B92" s="60">
        <f>B93/$B$27</f>
        <v>2.0188676802072227E-2</v>
      </c>
    </row>
    <row r="93" spans="1:4" ht="16.5" thickBot="1" x14ac:dyDescent="0.3">
      <c r="A93" s="31" t="s">
        <v>283</v>
      </c>
      <c r="B93" s="317">
        <f xml:space="preserve"> SUMIF(C33:C86, 1,B33:B86)</f>
        <v>5.011209899999999</v>
      </c>
    </row>
    <row r="94" spans="1:4" ht="16.5" thickBot="1" x14ac:dyDescent="0.3">
      <c r="A94" s="31" t="s">
        <v>284</v>
      </c>
      <c r="B94" s="60">
        <f>B95/$B$27</f>
        <v>2.5404166244953941E-2</v>
      </c>
    </row>
    <row r="95" spans="1:4" s="137" customFormat="1" ht="16.5" thickBot="1" x14ac:dyDescent="0.3">
      <c r="A95" s="32" t="s">
        <v>285</v>
      </c>
      <c r="B95" s="317">
        <f xml:space="preserve"> SUMIF(C33:C86, 2,B33:B86)</f>
        <v>6.3057926299999991</v>
      </c>
      <c r="C95" s="15"/>
      <c r="D95" s="15"/>
    </row>
    <row r="96" spans="1:4" ht="30" x14ac:dyDescent="0.25">
      <c r="A96" s="33" t="s">
        <v>286</v>
      </c>
      <c r="B96" s="35" t="s">
        <v>699</v>
      </c>
    </row>
    <row r="97" spans="1:4" x14ac:dyDescent="0.25">
      <c r="A97" s="36" t="s">
        <v>287</v>
      </c>
      <c r="B97" s="36" t="s">
        <v>858</v>
      </c>
    </row>
    <row r="98" spans="1:4" ht="45" x14ac:dyDescent="0.25">
      <c r="A98" s="36" t="s">
        <v>288</v>
      </c>
      <c r="B98" s="36" t="s">
        <v>712</v>
      </c>
    </row>
    <row r="99" spans="1:4" s="137" customFormat="1" x14ac:dyDescent="0.25">
      <c r="A99" s="36" t="s">
        <v>289</v>
      </c>
      <c r="B99" s="36"/>
      <c r="C99" s="15"/>
      <c r="D99" s="15"/>
    </row>
    <row r="100" spans="1:4" x14ac:dyDescent="0.25">
      <c r="A100" s="36" t="s">
        <v>290</v>
      </c>
      <c r="B100" s="36"/>
    </row>
    <row r="101" spans="1:4" ht="16.5" thickBot="1" x14ac:dyDescent="0.3">
      <c r="A101" s="37" t="s">
        <v>291</v>
      </c>
      <c r="B101" s="37"/>
    </row>
    <row r="102" spans="1:4" ht="30.75" thickBot="1" x14ac:dyDescent="0.3">
      <c r="A102" s="35" t="s">
        <v>292</v>
      </c>
      <c r="B102" s="61" t="s">
        <v>536</v>
      </c>
    </row>
    <row r="103" spans="1:4" s="137" customFormat="1" ht="29.25" thickBot="1" x14ac:dyDescent="0.3">
      <c r="A103" s="31" t="s">
        <v>293</v>
      </c>
      <c r="B103" s="61" t="s">
        <v>536</v>
      </c>
      <c r="C103" s="15"/>
      <c r="D103" s="15"/>
    </row>
    <row r="104" spans="1:4" ht="16.5" thickBot="1" x14ac:dyDescent="0.3">
      <c r="A104" s="35" t="s">
        <v>273</v>
      </c>
      <c r="B104" s="214"/>
    </row>
    <row r="105" spans="1:4" ht="16.5" thickBot="1" x14ac:dyDescent="0.3">
      <c r="A105" s="35" t="s">
        <v>294</v>
      </c>
      <c r="B105" s="61" t="s">
        <v>536</v>
      </c>
    </row>
    <row r="106" spans="1:4" ht="16.5" thickBot="1" x14ac:dyDescent="0.3">
      <c r="A106" s="35" t="s">
        <v>295</v>
      </c>
      <c r="B106" s="61" t="s">
        <v>536</v>
      </c>
    </row>
    <row r="107" spans="1:4" s="137" customFormat="1" ht="30.75" thickBot="1" x14ac:dyDescent="0.3">
      <c r="A107" s="40" t="s">
        <v>296</v>
      </c>
      <c r="B107" s="404" t="s">
        <v>678</v>
      </c>
      <c r="C107" s="15"/>
      <c r="D107" s="15"/>
    </row>
    <row r="108" spans="1:4" ht="16.5" thickBot="1" x14ac:dyDescent="0.3">
      <c r="A108" s="31" t="s">
        <v>297</v>
      </c>
      <c r="B108" s="63"/>
    </row>
    <row r="109" spans="1:4" ht="30.75" thickBot="1" x14ac:dyDescent="0.3">
      <c r="A109" s="36" t="s">
        <v>298</v>
      </c>
      <c r="B109" s="213" t="str">
        <f>'6.1. Паспорт сетевой график'!D43</f>
        <v>30.09.2023
30.09.2024</v>
      </c>
    </row>
    <row r="110" spans="1:4" ht="16.5" thickBot="1" x14ac:dyDescent="0.3">
      <c r="A110" s="36" t="s">
        <v>299</v>
      </c>
      <c r="B110" s="64" t="s">
        <v>535</v>
      </c>
    </row>
    <row r="111" spans="1:4" s="137" customFormat="1" ht="16.5" thickBot="1" x14ac:dyDescent="0.3">
      <c r="A111" s="36" t="s">
        <v>300</v>
      </c>
      <c r="B111" s="64" t="s">
        <v>535</v>
      </c>
      <c r="C111" s="15"/>
      <c r="D111" s="15"/>
    </row>
    <row r="112" spans="1:4" ht="120.75" thickBot="1" x14ac:dyDescent="0.3">
      <c r="A112" s="40" t="s">
        <v>301</v>
      </c>
      <c r="B112" s="62" t="s">
        <v>878</v>
      </c>
    </row>
    <row r="113" spans="1:2" ht="28.5" x14ac:dyDescent="0.25">
      <c r="A113" s="33" t="s">
        <v>302</v>
      </c>
      <c r="B113" s="555" t="s">
        <v>879</v>
      </c>
    </row>
    <row r="114" spans="1:2" x14ac:dyDescent="0.25">
      <c r="A114" s="36" t="s">
        <v>303</v>
      </c>
      <c r="B114" s="556"/>
    </row>
    <row r="115" spans="1:2" x14ac:dyDescent="0.25">
      <c r="A115" s="36" t="s">
        <v>304</v>
      </c>
      <c r="B115" s="556"/>
    </row>
    <row r="116" spans="1:2" x14ac:dyDescent="0.25">
      <c r="A116" s="36" t="s">
        <v>305</v>
      </c>
      <c r="B116" s="556"/>
    </row>
    <row r="117" spans="1:2" x14ac:dyDescent="0.25">
      <c r="A117" s="36" t="s">
        <v>306</v>
      </c>
      <c r="B117" s="556"/>
    </row>
    <row r="118" spans="1:2" ht="151.5" customHeight="1" thickBot="1" x14ac:dyDescent="0.3">
      <c r="A118" s="394" t="s">
        <v>307</v>
      </c>
      <c r="B118" s="557"/>
    </row>
  </sheetData>
  <mergeCells count="10">
    <mergeCell ref="A5:B5"/>
    <mergeCell ref="A7:B7"/>
    <mergeCell ref="A9:B9"/>
    <mergeCell ref="A10:B10"/>
    <mergeCell ref="A12:B12"/>
    <mergeCell ref="A15:B15"/>
    <mergeCell ref="A16:B16"/>
    <mergeCell ref="A18:B18"/>
    <mergeCell ref="A13:B13"/>
    <mergeCell ref="B113:B118"/>
  </mergeCells>
  <pageMargins left="0.70866141732283472" right="0.70866141732283472" top="0.74803149606299213" bottom="0.74803149606299213" header="0.31496062992125984" footer="0.31496062992125984"/>
  <pageSetup paperSize="8"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F16" zoomScale="70" zoomScaleSheetLayoutView="70" workbookViewId="0">
      <selection activeCell="A4" sqref="A4:S4"/>
    </sheetView>
  </sheetViews>
  <sheetFormatPr defaultColWidth="9.140625" defaultRowHeight="15" x14ac:dyDescent="0.25"/>
  <cols>
    <col min="1" max="1" width="7.42578125" style="68" customWidth="1"/>
    <col min="2" max="2" width="35.85546875" style="68" customWidth="1"/>
    <col min="3" max="3" width="31.140625" style="68" customWidth="1"/>
    <col min="4" max="4" width="25" style="68" customWidth="1"/>
    <col min="5" max="5" width="50" style="68" customWidth="1"/>
    <col min="6" max="6" width="57" style="68" customWidth="1"/>
    <col min="7" max="7" width="57.5703125" style="68" customWidth="1"/>
    <col min="8" max="10" width="20.5703125" style="68" customWidth="1"/>
    <col min="11" max="11" width="16" style="68" customWidth="1"/>
    <col min="12" max="12" width="20.5703125" style="68" customWidth="1"/>
    <col min="13" max="13" width="21.28515625" style="68" customWidth="1"/>
    <col min="14" max="14" width="23.85546875" style="68" customWidth="1"/>
    <col min="15" max="15" width="17.85546875" style="68" customWidth="1"/>
    <col min="16" max="16" width="23.85546875" style="68" customWidth="1"/>
    <col min="17" max="17" width="58" style="68" customWidth="1"/>
    <col min="18" max="18" width="27" style="68" customWidth="1"/>
    <col min="19" max="19" width="43" style="68" customWidth="1"/>
    <col min="20" max="16384" width="9.140625" style="68"/>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421" t="str">
        <f>'1. паспорт местоположение'!A5:C5</f>
        <v>Год раскрытия информации: 2023 год</v>
      </c>
      <c r="B4" s="421"/>
      <c r="C4" s="421"/>
      <c r="D4" s="421"/>
      <c r="E4" s="421"/>
      <c r="F4" s="421"/>
      <c r="G4" s="421"/>
      <c r="H4" s="421"/>
      <c r="I4" s="421"/>
      <c r="J4" s="421"/>
      <c r="K4" s="421"/>
      <c r="L4" s="421"/>
      <c r="M4" s="421"/>
      <c r="N4" s="421"/>
      <c r="O4" s="421"/>
      <c r="P4" s="421"/>
      <c r="Q4" s="421"/>
      <c r="R4" s="421"/>
      <c r="S4" s="421"/>
    </row>
    <row r="5" spans="1:28" s="2" customFormat="1" ht="15.75" x14ac:dyDescent="0.2">
      <c r="A5" s="70"/>
    </row>
    <row r="6" spans="1:28" s="2" customFormat="1" ht="18.75" x14ac:dyDescent="0.2">
      <c r="A6" s="411" t="s">
        <v>6</v>
      </c>
      <c r="B6" s="411"/>
      <c r="C6" s="411"/>
      <c r="D6" s="411"/>
      <c r="E6" s="411"/>
      <c r="F6" s="411"/>
      <c r="G6" s="411"/>
      <c r="H6" s="411"/>
      <c r="I6" s="411"/>
      <c r="J6" s="411"/>
      <c r="K6" s="411"/>
      <c r="L6" s="411"/>
      <c r="M6" s="411"/>
      <c r="N6" s="411"/>
      <c r="O6" s="411"/>
      <c r="P6" s="411"/>
      <c r="Q6" s="411"/>
      <c r="R6" s="411"/>
      <c r="S6" s="411"/>
      <c r="T6" s="71"/>
      <c r="U6" s="71"/>
      <c r="V6" s="71"/>
      <c r="W6" s="71"/>
      <c r="X6" s="71"/>
      <c r="Y6" s="71"/>
      <c r="Z6" s="71"/>
      <c r="AA6" s="71"/>
      <c r="AB6" s="71"/>
    </row>
    <row r="7" spans="1:28" s="2" customFormat="1" ht="18.75" x14ac:dyDescent="0.2">
      <c r="A7" s="411"/>
      <c r="B7" s="411"/>
      <c r="C7" s="411"/>
      <c r="D7" s="411"/>
      <c r="E7" s="411"/>
      <c r="F7" s="411"/>
      <c r="G7" s="411"/>
      <c r="H7" s="411"/>
      <c r="I7" s="411"/>
      <c r="J7" s="411"/>
      <c r="K7" s="411"/>
      <c r="L7" s="411"/>
      <c r="M7" s="411"/>
      <c r="N7" s="411"/>
      <c r="O7" s="411"/>
      <c r="P7" s="411"/>
      <c r="Q7" s="411"/>
      <c r="R7" s="411"/>
      <c r="S7" s="411"/>
      <c r="T7" s="71"/>
      <c r="U7" s="71"/>
      <c r="V7" s="71"/>
      <c r="W7" s="71"/>
      <c r="X7" s="71"/>
      <c r="Y7" s="71"/>
      <c r="Z7" s="71"/>
      <c r="AA7" s="71"/>
      <c r="AB7" s="71"/>
    </row>
    <row r="8" spans="1:28" s="2" customFormat="1" ht="18.75" x14ac:dyDescent="0.2">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71"/>
      <c r="U8" s="71"/>
      <c r="V8" s="71"/>
      <c r="W8" s="71"/>
      <c r="X8" s="71"/>
      <c r="Y8" s="71"/>
      <c r="Z8" s="71"/>
      <c r="AA8" s="71"/>
      <c r="AB8" s="71"/>
    </row>
    <row r="9" spans="1:28" s="2" customFormat="1" ht="18.75" x14ac:dyDescent="0.2">
      <c r="A9" s="412" t="s">
        <v>5</v>
      </c>
      <c r="B9" s="412"/>
      <c r="C9" s="412"/>
      <c r="D9" s="412"/>
      <c r="E9" s="412"/>
      <c r="F9" s="412"/>
      <c r="G9" s="412"/>
      <c r="H9" s="412"/>
      <c r="I9" s="412"/>
      <c r="J9" s="412"/>
      <c r="K9" s="412"/>
      <c r="L9" s="412"/>
      <c r="M9" s="412"/>
      <c r="N9" s="412"/>
      <c r="O9" s="412"/>
      <c r="P9" s="412"/>
      <c r="Q9" s="412"/>
      <c r="R9" s="412"/>
      <c r="S9" s="412"/>
      <c r="T9" s="71"/>
      <c r="U9" s="71"/>
      <c r="V9" s="71"/>
      <c r="W9" s="71"/>
      <c r="X9" s="71"/>
      <c r="Y9" s="71"/>
      <c r="Z9" s="71"/>
      <c r="AA9" s="71"/>
      <c r="AB9" s="71"/>
    </row>
    <row r="10" spans="1:28" s="2" customFormat="1" ht="18.75" x14ac:dyDescent="0.2">
      <c r="A10" s="411"/>
      <c r="B10" s="411"/>
      <c r="C10" s="411"/>
      <c r="D10" s="411"/>
      <c r="E10" s="411"/>
      <c r="F10" s="411"/>
      <c r="G10" s="411"/>
      <c r="H10" s="411"/>
      <c r="I10" s="411"/>
      <c r="J10" s="411"/>
      <c r="K10" s="411"/>
      <c r="L10" s="411"/>
      <c r="M10" s="411"/>
      <c r="N10" s="411"/>
      <c r="O10" s="411"/>
      <c r="P10" s="411"/>
      <c r="Q10" s="411"/>
      <c r="R10" s="411"/>
      <c r="S10" s="411"/>
      <c r="T10" s="71"/>
      <c r="U10" s="71"/>
      <c r="V10" s="71"/>
      <c r="W10" s="71"/>
      <c r="X10" s="71"/>
      <c r="Y10" s="71"/>
      <c r="Z10" s="71"/>
      <c r="AA10" s="71"/>
      <c r="AB10" s="71"/>
    </row>
    <row r="11" spans="1:28" s="2" customFormat="1" ht="18.75" x14ac:dyDescent="0.2">
      <c r="A11" s="414" t="str">
        <f>'1. паспорт местоположение'!A12:C12</f>
        <v>L_19-1035</v>
      </c>
      <c r="B11" s="414"/>
      <c r="C11" s="414"/>
      <c r="D11" s="414"/>
      <c r="E11" s="414"/>
      <c r="F11" s="414"/>
      <c r="G11" s="414"/>
      <c r="H11" s="414"/>
      <c r="I11" s="414"/>
      <c r="J11" s="414"/>
      <c r="K11" s="414"/>
      <c r="L11" s="414"/>
      <c r="M11" s="414"/>
      <c r="N11" s="414"/>
      <c r="O11" s="414"/>
      <c r="P11" s="414"/>
      <c r="Q11" s="414"/>
      <c r="R11" s="414"/>
      <c r="S11" s="414"/>
      <c r="T11" s="71"/>
      <c r="U11" s="71"/>
      <c r="V11" s="71"/>
      <c r="W11" s="71"/>
      <c r="X11" s="71"/>
      <c r="Y11" s="71"/>
      <c r="Z11" s="71"/>
      <c r="AA11" s="71"/>
      <c r="AB11" s="71"/>
    </row>
    <row r="12" spans="1:28" s="2" customFormat="1" ht="18.75" x14ac:dyDescent="0.2">
      <c r="A12" s="412" t="s">
        <v>4</v>
      </c>
      <c r="B12" s="412"/>
      <c r="C12" s="412"/>
      <c r="D12" s="412"/>
      <c r="E12" s="412"/>
      <c r="F12" s="412"/>
      <c r="G12" s="412"/>
      <c r="H12" s="412"/>
      <c r="I12" s="412"/>
      <c r="J12" s="412"/>
      <c r="K12" s="412"/>
      <c r="L12" s="412"/>
      <c r="M12" s="412"/>
      <c r="N12" s="412"/>
      <c r="O12" s="412"/>
      <c r="P12" s="412"/>
      <c r="Q12" s="412"/>
      <c r="R12" s="412"/>
      <c r="S12" s="412"/>
      <c r="T12" s="71"/>
      <c r="U12" s="71"/>
      <c r="V12" s="71"/>
      <c r="W12" s="71"/>
      <c r="X12" s="71"/>
      <c r="Y12" s="71"/>
      <c r="Z12" s="71"/>
      <c r="AA12" s="71"/>
      <c r="AB12" s="71"/>
    </row>
    <row r="13" spans="1:28" s="76"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75"/>
      <c r="U13" s="75"/>
      <c r="V13" s="75"/>
      <c r="W13" s="75"/>
      <c r="X13" s="75"/>
      <c r="Y13" s="75"/>
      <c r="Z13" s="75"/>
      <c r="AA13" s="75"/>
      <c r="AB13" s="75"/>
    </row>
    <row r="14" spans="1:28" s="77" customFormat="1" ht="100.5" customHeight="1" x14ac:dyDescent="0.2">
      <c r="A14" s="426" t="str">
        <f>'1. паспорт местоположение'!A15:C15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427"/>
      <c r="C14" s="427"/>
      <c r="D14" s="427"/>
      <c r="E14" s="427"/>
      <c r="F14" s="427"/>
      <c r="G14" s="427"/>
      <c r="H14" s="427"/>
      <c r="I14" s="427"/>
      <c r="J14" s="427"/>
      <c r="K14" s="427"/>
      <c r="L14" s="427"/>
      <c r="M14" s="427"/>
      <c r="N14" s="427"/>
      <c r="O14" s="427"/>
      <c r="P14" s="427"/>
      <c r="Q14" s="427"/>
      <c r="R14" s="427"/>
      <c r="S14" s="427"/>
      <c r="T14" s="73"/>
      <c r="U14" s="73"/>
      <c r="V14" s="73"/>
      <c r="W14" s="73"/>
      <c r="X14" s="73"/>
      <c r="Y14" s="73"/>
      <c r="Z14" s="73"/>
      <c r="AA14" s="73"/>
      <c r="AB14" s="73"/>
    </row>
    <row r="15" spans="1:28" s="77" customFormat="1" ht="15" customHeight="1" x14ac:dyDescent="0.2">
      <c r="A15" s="412" t="s">
        <v>3</v>
      </c>
      <c r="B15" s="412"/>
      <c r="C15" s="412"/>
      <c r="D15" s="412"/>
      <c r="E15" s="412"/>
      <c r="F15" s="412"/>
      <c r="G15" s="412"/>
      <c r="H15" s="412"/>
      <c r="I15" s="412"/>
      <c r="J15" s="412"/>
      <c r="K15" s="412"/>
      <c r="L15" s="412"/>
      <c r="M15" s="412"/>
      <c r="N15" s="412"/>
      <c r="O15" s="412"/>
      <c r="P15" s="412"/>
      <c r="Q15" s="412"/>
      <c r="R15" s="412"/>
      <c r="S15" s="412"/>
      <c r="T15" s="74"/>
      <c r="U15" s="74"/>
      <c r="V15" s="74"/>
      <c r="W15" s="74"/>
      <c r="X15" s="74"/>
      <c r="Y15" s="74"/>
      <c r="Z15" s="74"/>
      <c r="AA15" s="74"/>
      <c r="AB15" s="74"/>
    </row>
    <row r="16" spans="1:28" s="77"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78"/>
      <c r="U16" s="78"/>
      <c r="V16" s="78"/>
      <c r="W16" s="78"/>
      <c r="X16" s="78"/>
      <c r="Y16" s="78"/>
    </row>
    <row r="17" spans="1:28" s="77" customFormat="1" ht="45.75" customHeight="1" x14ac:dyDescent="0.2">
      <c r="A17" s="418" t="s">
        <v>337</v>
      </c>
      <c r="B17" s="418"/>
      <c r="C17" s="418"/>
      <c r="D17" s="418"/>
      <c r="E17" s="418"/>
      <c r="F17" s="418"/>
      <c r="G17" s="418"/>
      <c r="H17" s="418"/>
      <c r="I17" s="418"/>
      <c r="J17" s="418"/>
      <c r="K17" s="418"/>
      <c r="L17" s="418"/>
      <c r="M17" s="418"/>
      <c r="N17" s="418"/>
      <c r="O17" s="418"/>
      <c r="P17" s="418"/>
      <c r="Q17" s="418"/>
      <c r="R17" s="418"/>
      <c r="S17" s="418"/>
      <c r="T17" s="79"/>
      <c r="U17" s="79"/>
      <c r="V17" s="79"/>
      <c r="W17" s="79"/>
      <c r="X17" s="79"/>
      <c r="Y17" s="79"/>
      <c r="Z17" s="79"/>
      <c r="AA17" s="79"/>
      <c r="AB17" s="79"/>
    </row>
    <row r="18" spans="1:28" s="77"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78"/>
      <c r="U18" s="78"/>
      <c r="V18" s="78"/>
      <c r="W18" s="78"/>
      <c r="X18" s="78"/>
      <c r="Y18" s="78"/>
    </row>
    <row r="19" spans="1:28" s="77" customFormat="1" ht="54" customHeight="1" x14ac:dyDescent="0.2">
      <c r="A19" s="420" t="s">
        <v>2</v>
      </c>
      <c r="B19" s="420" t="s">
        <v>93</v>
      </c>
      <c r="C19" s="422" t="s">
        <v>266</v>
      </c>
      <c r="D19" s="420" t="s">
        <v>265</v>
      </c>
      <c r="E19" s="420" t="s">
        <v>92</v>
      </c>
      <c r="F19" s="420" t="s">
        <v>91</v>
      </c>
      <c r="G19" s="420" t="s">
        <v>261</v>
      </c>
      <c r="H19" s="420" t="s">
        <v>90</v>
      </c>
      <c r="I19" s="420" t="s">
        <v>89</v>
      </c>
      <c r="J19" s="420" t="s">
        <v>88</v>
      </c>
      <c r="K19" s="420" t="s">
        <v>87</v>
      </c>
      <c r="L19" s="420" t="s">
        <v>86</v>
      </c>
      <c r="M19" s="420" t="s">
        <v>85</v>
      </c>
      <c r="N19" s="420" t="s">
        <v>84</v>
      </c>
      <c r="O19" s="420" t="s">
        <v>83</v>
      </c>
      <c r="P19" s="420" t="s">
        <v>82</v>
      </c>
      <c r="Q19" s="420" t="s">
        <v>264</v>
      </c>
      <c r="R19" s="420"/>
      <c r="S19" s="424" t="s">
        <v>331</v>
      </c>
      <c r="T19" s="78"/>
      <c r="U19" s="78"/>
      <c r="V19" s="78"/>
      <c r="W19" s="78"/>
      <c r="X19" s="78"/>
      <c r="Y19" s="78"/>
    </row>
    <row r="20" spans="1:28" s="77" customFormat="1" ht="180.75" customHeight="1" x14ac:dyDescent="0.2">
      <c r="A20" s="420"/>
      <c r="B20" s="420"/>
      <c r="C20" s="423"/>
      <c r="D20" s="420"/>
      <c r="E20" s="420"/>
      <c r="F20" s="420"/>
      <c r="G20" s="420"/>
      <c r="H20" s="420"/>
      <c r="I20" s="420"/>
      <c r="J20" s="420"/>
      <c r="K20" s="420"/>
      <c r="L20" s="420"/>
      <c r="M20" s="420"/>
      <c r="N20" s="420"/>
      <c r="O20" s="420"/>
      <c r="P20" s="420"/>
      <c r="Q20" s="96" t="s">
        <v>262</v>
      </c>
      <c r="R20" s="97" t="s">
        <v>263</v>
      </c>
      <c r="S20" s="424"/>
      <c r="T20" s="84"/>
      <c r="U20" s="84"/>
      <c r="V20" s="84"/>
      <c r="W20" s="84"/>
      <c r="X20" s="84"/>
      <c r="Y20" s="84"/>
      <c r="Z20" s="85"/>
      <c r="AA20" s="85"/>
      <c r="AB20" s="85"/>
    </row>
    <row r="21" spans="1:28" s="77" customFormat="1" ht="18.75" x14ac:dyDescent="0.2">
      <c r="A21" s="96">
        <v>1</v>
      </c>
      <c r="B21" s="98">
        <v>2</v>
      </c>
      <c r="C21" s="96">
        <v>3</v>
      </c>
      <c r="D21" s="98">
        <v>4</v>
      </c>
      <c r="E21" s="96">
        <v>5</v>
      </c>
      <c r="F21" s="98">
        <v>6</v>
      </c>
      <c r="G21" s="96">
        <v>7</v>
      </c>
      <c r="H21" s="98">
        <v>8</v>
      </c>
      <c r="I21" s="96">
        <v>9</v>
      </c>
      <c r="J21" s="98">
        <v>10</v>
      </c>
      <c r="K21" s="96">
        <v>11</v>
      </c>
      <c r="L21" s="98">
        <v>12</v>
      </c>
      <c r="M21" s="96">
        <v>13</v>
      </c>
      <c r="N21" s="98">
        <v>14</v>
      </c>
      <c r="O21" s="96">
        <v>15</v>
      </c>
      <c r="P21" s="98">
        <v>16</v>
      </c>
      <c r="Q21" s="96">
        <v>17</v>
      </c>
      <c r="R21" s="98">
        <v>18</v>
      </c>
      <c r="S21" s="96">
        <v>19</v>
      </c>
      <c r="T21" s="84"/>
      <c r="U21" s="84"/>
      <c r="V21" s="84"/>
      <c r="W21" s="84"/>
      <c r="X21" s="84"/>
      <c r="Y21" s="84"/>
      <c r="Z21" s="85"/>
      <c r="AA21" s="85"/>
      <c r="AB21" s="85"/>
    </row>
    <row r="22" spans="1:28" s="77" customFormat="1" ht="32.25" customHeight="1" x14ac:dyDescent="0.2">
      <c r="A22" s="96" t="s">
        <v>260</v>
      </c>
      <c r="B22" s="96" t="s">
        <v>260</v>
      </c>
      <c r="C22" s="96" t="s">
        <v>260</v>
      </c>
      <c r="D22" s="96" t="s">
        <v>260</v>
      </c>
      <c r="E22" s="96" t="s">
        <v>260</v>
      </c>
      <c r="F22" s="96" t="s">
        <v>260</v>
      </c>
      <c r="G22" s="96" t="s">
        <v>260</v>
      </c>
      <c r="H22" s="96" t="s">
        <v>260</v>
      </c>
      <c r="I22" s="96" t="s">
        <v>260</v>
      </c>
      <c r="J22" s="96" t="s">
        <v>260</v>
      </c>
      <c r="K22" s="96" t="s">
        <v>260</v>
      </c>
      <c r="L22" s="96" t="s">
        <v>260</v>
      </c>
      <c r="M22" s="96" t="s">
        <v>260</v>
      </c>
      <c r="N22" s="96" t="s">
        <v>260</v>
      </c>
      <c r="O22" s="96" t="s">
        <v>260</v>
      </c>
      <c r="P22" s="96" t="s">
        <v>260</v>
      </c>
      <c r="Q22" s="96" t="s">
        <v>260</v>
      </c>
      <c r="R22" s="96" t="s">
        <v>260</v>
      </c>
      <c r="S22" s="96" t="s">
        <v>260</v>
      </c>
      <c r="T22" s="84"/>
      <c r="U22" s="84"/>
      <c r="V22" s="84"/>
      <c r="W22" s="84"/>
      <c r="X22" s="84"/>
      <c r="Y22" s="84"/>
      <c r="Z22" s="85"/>
      <c r="AA22" s="85"/>
      <c r="AB22" s="85"/>
    </row>
    <row r="23" spans="1:28" ht="20.25" customHeight="1" x14ac:dyDescent="0.25">
      <c r="A23" s="99"/>
      <c r="B23" s="98"/>
      <c r="C23" s="98"/>
      <c r="D23" s="98"/>
      <c r="E23" s="99"/>
      <c r="F23" s="99"/>
      <c r="G23" s="99"/>
      <c r="H23" s="99"/>
      <c r="I23" s="99"/>
      <c r="J23" s="99"/>
      <c r="K23" s="99"/>
      <c r="L23" s="99"/>
      <c r="M23" s="99"/>
      <c r="N23" s="99"/>
      <c r="O23" s="99"/>
      <c r="P23" s="99"/>
      <c r="Q23" s="100"/>
      <c r="R23" s="101"/>
      <c r="S23" s="101"/>
      <c r="T23" s="95"/>
      <c r="U23" s="95"/>
      <c r="V23" s="95"/>
      <c r="W23" s="95"/>
      <c r="X23" s="95"/>
      <c r="Y23" s="95"/>
      <c r="Z23" s="95"/>
      <c r="AA23" s="95"/>
      <c r="AB23" s="95"/>
    </row>
    <row r="24" spans="1:28" x14ac:dyDescent="0.25">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row>
    <row r="25" spans="1:28" x14ac:dyDescent="0.25">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row>
    <row r="26" spans="1:28" x14ac:dyDescent="0.25">
      <c r="A26" s="95"/>
      <c r="B26" s="95"/>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row>
    <row r="27" spans="1:28" x14ac:dyDescent="0.25">
      <c r="A27" s="95"/>
      <c r="B27" s="95"/>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row>
    <row r="28" spans="1:28" x14ac:dyDescent="0.25">
      <c r="A28" s="95"/>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row>
    <row r="29" spans="1:28" x14ac:dyDescent="0.25">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c r="AA29" s="95"/>
      <c r="AB29" s="95"/>
    </row>
    <row r="30" spans="1:28"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row>
    <row r="31" spans="1:28"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row>
    <row r="32" spans="1:28"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row>
    <row r="34" spans="1:28"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row>
    <row r="35" spans="1:28"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row>
    <row r="36" spans="1:28"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row>
    <row r="37" spans="1:28"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row>
    <row r="38" spans="1:28"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row>
    <row r="39" spans="1:28"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row>
    <row r="40" spans="1:28"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row>
    <row r="41" spans="1:28"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row>
    <row r="42" spans="1:28"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row>
    <row r="43" spans="1:28"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row>
    <row r="44" spans="1:28"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row>
    <row r="45" spans="1:28"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row>
    <row r="46" spans="1:28"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row>
    <row r="47" spans="1:28"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row>
    <row r="48" spans="1:28"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row>
    <row r="49" spans="1:28"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row>
    <row r="50" spans="1:28"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row>
    <row r="51" spans="1:28"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row>
    <row r="52" spans="1:28"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row>
    <row r="53" spans="1:28"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row>
    <row r="54" spans="1:28"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row>
    <row r="55" spans="1:28"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row>
    <row r="56" spans="1:28"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row>
    <row r="57" spans="1:28"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row>
    <row r="58" spans="1:28"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row>
    <row r="59" spans="1:28"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row>
    <row r="60" spans="1:28"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row>
    <row r="61" spans="1:28"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row>
    <row r="62" spans="1:28"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row>
    <row r="63" spans="1:28"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row>
    <row r="64" spans="1:28"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row>
    <row r="65" spans="1:28"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row>
    <row r="66" spans="1:28"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row>
    <row r="67" spans="1:28"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row>
    <row r="68" spans="1:28"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row>
    <row r="69" spans="1:28"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row>
    <row r="70" spans="1:28"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row>
    <row r="71" spans="1:28"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row>
    <row r="72" spans="1:28"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row>
    <row r="73" spans="1:28"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row>
    <row r="74" spans="1:28"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row>
    <row r="75" spans="1:28"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row>
    <row r="76" spans="1:28"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95"/>
    </row>
    <row r="77" spans="1:28"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row>
    <row r="78" spans="1:28"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row>
    <row r="79" spans="1:28"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row>
    <row r="80" spans="1:28"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row>
    <row r="81" spans="1:28"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row>
    <row r="82" spans="1:28"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row>
    <row r="83" spans="1:28"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row>
    <row r="84" spans="1:28"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row>
    <row r="85" spans="1:28"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row>
    <row r="86" spans="1:28"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row>
    <row r="87" spans="1:28"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row>
    <row r="88" spans="1:28"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spans="1:28"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spans="1:28"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row>
    <row r="91" spans="1:28"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row>
    <row r="92" spans="1:28"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row>
    <row r="93" spans="1:28"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row>
    <row r="94" spans="1:28"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row>
    <row r="95" spans="1:28"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row>
    <row r="96" spans="1:28"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row>
    <row r="97" spans="1:28"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row>
    <row r="98" spans="1:28"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row>
    <row r="99" spans="1:28"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c r="AB99" s="95"/>
    </row>
    <row r="100" spans="1:28"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row>
    <row r="101" spans="1:28"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row>
    <row r="102" spans="1:28"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row>
    <row r="103" spans="1:28"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row>
    <row r="104" spans="1:28"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c r="AB104" s="95"/>
    </row>
    <row r="105" spans="1:28"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row>
    <row r="106" spans="1:28"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row>
    <row r="107" spans="1:28"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row>
    <row r="108" spans="1:28"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row>
    <row r="109" spans="1:28"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row>
    <row r="110" spans="1:28"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row>
    <row r="111" spans="1:28"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row>
    <row r="112" spans="1:28"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row>
    <row r="113" spans="1:28"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row>
    <row r="114" spans="1:28"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row>
    <row r="115" spans="1:28"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row>
    <row r="116" spans="1:28"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row>
    <row r="117" spans="1:28"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row>
    <row r="118" spans="1:28"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row>
    <row r="119" spans="1:28"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row>
    <row r="120" spans="1:28"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row>
    <row r="121" spans="1:28"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row>
    <row r="122" spans="1:28"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row>
    <row r="123" spans="1:28"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row>
    <row r="124" spans="1:28"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row>
    <row r="125" spans="1:28"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row>
    <row r="126" spans="1:28"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row>
    <row r="127" spans="1:28"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row>
    <row r="128" spans="1:28"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row>
    <row r="129" spans="1:28"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row>
    <row r="130" spans="1:28"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row>
    <row r="131" spans="1:28"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c r="AB131" s="95"/>
    </row>
    <row r="132" spans="1:28"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row>
    <row r="133" spans="1:28"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row>
    <row r="134" spans="1:28"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row>
    <row r="135" spans="1:28"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row>
    <row r="136" spans="1:28"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row>
    <row r="137" spans="1:28"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row>
    <row r="138" spans="1:28"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row>
    <row r="139" spans="1:28"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c r="AB139" s="95"/>
    </row>
    <row r="140" spans="1:28"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row>
    <row r="141" spans="1:28"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row>
    <row r="142" spans="1:28"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row>
    <row r="143" spans="1:28"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row>
    <row r="144" spans="1:28"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row>
    <row r="145" spans="1:28"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row>
    <row r="146" spans="1:28"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c r="AB146" s="95"/>
    </row>
    <row r="147" spans="1:28"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c r="AB147" s="95"/>
    </row>
    <row r="148" spans="1:28"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c r="AB148" s="95"/>
    </row>
    <row r="149" spans="1:28"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row>
    <row r="150" spans="1:28"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c r="AB150" s="95"/>
    </row>
    <row r="151" spans="1:28"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c r="AB151" s="95"/>
    </row>
    <row r="152" spans="1:28"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c r="AB152" s="95"/>
    </row>
    <row r="153" spans="1:28"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c r="AB153" s="95"/>
    </row>
    <row r="154" spans="1:28"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row>
    <row r="155" spans="1:28"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c r="AB155" s="95"/>
    </row>
    <row r="156" spans="1:28"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c r="AB156" s="95"/>
    </row>
    <row r="157" spans="1:28"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c r="AB157" s="95"/>
    </row>
    <row r="158" spans="1:28"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c r="AB158" s="95"/>
    </row>
    <row r="159" spans="1:28"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c r="AB159" s="95"/>
    </row>
    <row r="160" spans="1:28"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c r="AB160" s="95"/>
    </row>
    <row r="161" spans="1:28"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c r="AB161" s="95"/>
    </row>
    <row r="162" spans="1:28"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row>
    <row r="163" spans="1:28"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c r="AB163" s="95"/>
    </row>
    <row r="164" spans="1:28"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row>
    <row r="165" spans="1:28"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c r="AB165" s="95"/>
    </row>
    <row r="166" spans="1:28"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c r="AB166" s="95"/>
    </row>
    <row r="167" spans="1:28"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c r="AB167" s="95"/>
    </row>
    <row r="168" spans="1:28"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row>
    <row r="169" spans="1:28"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row>
    <row r="170" spans="1:28"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row>
    <row r="171" spans="1:28"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row>
    <row r="172" spans="1:28"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c r="AB172" s="95"/>
    </row>
    <row r="173" spans="1:28"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c r="AB173" s="95"/>
    </row>
    <row r="174" spans="1:28"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row>
    <row r="175" spans="1:28"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c r="AB175" s="95"/>
    </row>
    <row r="176" spans="1:28"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row>
    <row r="177" spans="1:28"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row>
    <row r="178" spans="1:28"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c r="AB178" s="95"/>
    </row>
    <row r="179" spans="1:28"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row>
    <row r="180" spans="1:28"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c r="AB180" s="95"/>
    </row>
    <row r="181" spans="1:28"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row>
    <row r="182" spans="1:28"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row>
    <row r="183" spans="1:28"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row>
    <row r="184" spans="1:28"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row>
    <row r="185" spans="1:28"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row>
    <row r="186" spans="1:28"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row>
    <row r="187" spans="1:28"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c r="AB187" s="95"/>
    </row>
    <row r="188" spans="1:28"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row>
    <row r="189" spans="1:28"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c r="AB189" s="95"/>
    </row>
    <row r="190" spans="1:28"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row>
    <row r="191" spans="1:28"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row>
    <row r="192" spans="1:28"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row>
    <row r="193" spans="1:28"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c r="AB193" s="95"/>
    </row>
    <row r="194" spans="1:28"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c r="AB194" s="95"/>
    </row>
    <row r="195" spans="1:28"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c r="AB195" s="95"/>
    </row>
    <row r="196" spans="1:28"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row>
    <row r="197" spans="1:28"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c r="AB197" s="95"/>
    </row>
    <row r="198" spans="1:28"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c r="AB198" s="95"/>
    </row>
    <row r="199" spans="1:28"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c r="AB199" s="95"/>
    </row>
    <row r="200" spans="1:28"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row>
    <row r="201" spans="1:28"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c r="AB201" s="95"/>
    </row>
    <row r="202" spans="1:28"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row>
    <row r="203" spans="1:28"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c r="AB203" s="95"/>
    </row>
    <row r="204" spans="1:28"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row>
    <row r="205" spans="1:28"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row>
    <row r="206" spans="1:28"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row>
    <row r="207" spans="1:28"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row>
    <row r="208" spans="1:28"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row>
    <row r="209" spans="1:28"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row>
    <row r="210" spans="1:28"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c r="AB210" s="95"/>
    </row>
    <row r="211" spans="1:28"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row>
    <row r="212" spans="1:28"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row>
    <row r="213" spans="1:28"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row>
    <row r="214" spans="1:28"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row>
    <row r="215" spans="1:28"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row>
    <row r="216" spans="1:28"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row>
    <row r="217" spans="1:28"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row>
    <row r="218" spans="1:28"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row>
    <row r="219" spans="1:28"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c r="AB219" s="95"/>
    </row>
    <row r="220" spans="1:28"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row>
    <row r="221" spans="1:28"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c r="AB221" s="95"/>
    </row>
    <row r="222" spans="1:28"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row>
    <row r="223" spans="1:28"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c r="AB223" s="95"/>
    </row>
    <row r="224" spans="1:28"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row>
    <row r="225" spans="1:28"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c r="AB225" s="95"/>
    </row>
    <row r="226" spans="1:28"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c r="AB226" s="95"/>
    </row>
    <row r="227" spans="1:28"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row>
    <row r="228" spans="1:28"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c r="AB228" s="95"/>
    </row>
    <row r="229" spans="1:28"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c r="AA229" s="95"/>
      <c r="AB229" s="95"/>
    </row>
    <row r="230" spans="1:28"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c r="AA230" s="95"/>
      <c r="AB230" s="95"/>
    </row>
    <row r="231" spans="1:28"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c r="AA231" s="95"/>
      <c r="AB231" s="95"/>
    </row>
    <row r="232" spans="1:28"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c r="AB232" s="95"/>
    </row>
    <row r="233" spans="1:28"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row>
    <row r="234" spans="1:28"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c r="AB234" s="95"/>
    </row>
    <row r="235" spans="1:28"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c r="AB235" s="95"/>
    </row>
    <row r="236" spans="1:28"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c r="AB236" s="95"/>
    </row>
    <row r="237" spans="1:28"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c r="AB237" s="95"/>
    </row>
    <row r="238" spans="1:28"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c r="AA238" s="95"/>
      <c r="AB238" s="95"/>
    </row>
    <row r="239" spans="1:28"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c r="AA239" s="95"/>
      <c r="AB239" s="95"/>
    </row>
    <row r="240" spans="1:28"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c r="AA240" s="95"/>
      <c r="AB240" s="95"/>
    </row>
    <row r="241" spans="1:28"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c r="AA241" s="95"/>
      <c r="AB241" s="95"/>
    </row>
    <row r="242" spans="1:28"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c r="AA242" s="95"/>
      <c r="AB242" s="95"/>
    </row>
    <row r="243" spans="1:28"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c r="AA243" s="95"/>
      <c r="AB243" s="95"/>
    </row>
    <row r="244" spans="1:28"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row>
    <row r="245" spans="1:28"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c r="AB245" s="95"/>
    </row>
    <row r="246" spans="1:28"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c r="AA246" s="95"/>
      <c r="AB246" s="95"/>
    </row>
    <row r="247" spans="1:28"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c r="AA247" s="95"/>
      <c r="AB247" s="95"/>
    </row>
    <row r="248" spans="1:28"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c r="AB248" s="95"/>
    </row>
    <row r="249" spans="1:28"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c r="AA249" s="95"/>
      <c r="AB249" s="95"/>
    </row>
    <row r="250" spans="1:28"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c r="AB250" s="95"/>
    </row>
    <row r="251" spans="1:28"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c r="AB251" s="95"/>
    </row>
    <row r="252" spans="1:28"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c r="AB252" s="95"/>
    </row>
    <row r="253" spans="1:28"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c r="AA253" s="95"/>
      <c r="AB253" s="95"/>
    </row>
    <row r="254" spans="1:28"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c r="AA254" s="95"/>
      <c r="AB254" s="95"/>
    </row>
    <row r="255" spans="1:28"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c r="AA255" s="95"/>
      <c r="AB255" s="95"/>
    </row>
    <row r="256" spans="1:28"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c r="AA256" s="95"/>
      <c r="AB256" s="95"/>
    </row>
    <row r="257" spans="1:28"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row>
    <row r="258" spans="1:28"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c r="AB258" s="95"/>
    </row>
    <row r="259" spans="1:28"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c r="AB259" s="95"/>
    </row>
    <row r="260" spans="1:28"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c r="AB260" s="95"/>
    </row>
    <row r="261" spans="1:28"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c r="AA261" s="95"/>
      <c r="AB261" s="95"/>
    </row>
    <row r="262" spans="1:28"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c r="AA262" s="95"/>
      <c r="AB262" s="95"/>
    </row>
    <row r="263" spans="1:28"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c r="AA263" s="95"/>
      <c r="AB263" s="95"/>
    </row>
    <row r="264" spans="1:28"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c r="AA264" s="95"/>
      <c r="AB264" s="95"/>
    </row>
    <row r="265" spans="1:28"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c r="AA265" s="95"/>
      <c r="AB265" s="95"/>
    </row>
    <row r="266" spans="1:28"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c r="AA266" s="95"/>
      <c r="AB266" s="95"/>
    </row>
    <row r="267" spans="1:28"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c r="AB267" s="95"/>
    </row>
    <row r="268" spans="1:28"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c r="AA268" s="95"/>
      <c r="AB268" s="95"/>
    </row>
    <row r="269" spans="1:28"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c r="AA269" s="95"/>
      <c r="AB269" s="95"/>
    </row>
    <row r="270" spans="1:28"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c r="AA270" s="95"/>
      <c r="AB270" s="95"/>
    </row>
    <row r="271" spans="1:28"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c r="AA271" s="95"/>
      <c r="AB271" s="95"/>
    </row>
    <row r="272" spans="1:28"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c r="AA272" s="95"/>
      <c r="AB272" s="95"/>
    </row>
    <row r="273" spans="1:28"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c r="AA273" s="95"/>
      <c r="AB273" s="95"/>
    </row>
    <row r="274" spans="1:28"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c r="AA274" s="95"/>
      <c r="AB274" s="95"/>
    </row>
    <row r="275" spans="1:28"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c r="AA275" s="95"/>
      <c r="AB275" s="95"/>
    </row>
    <row r="276" spans="1:28"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c r="AB276" s="95"/>
    </row>
    <row r="277" spans="1:28"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c r="AB277" s="95"/>
    </row>
    <row r="278" spans="1:28"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row>
    <row r="279" spans="1:28"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c r="AA279" s="95"/>
      <c r="AB279" s="95"/>
    </row>
    <row r="280" spans="1:28"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c r="AA280" s="95"/>
      <c r="AB280" s="95"/>
    </row>
    <row r="281" spans="1:28"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c r="AA281" s="95"/>
      <c r="AB281" s="95"/>
    </row>
    <row r="282" spans="1:28"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c r="AA282" s="95"/>
      <c r="AB282" s="95"/>
    </row>
    <row r="283" spans="1:28"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c r="AB283" s="95"/>
    </row>
    <row r="284" spans="1:28"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c r="AA284" s="95"/>
      <c r="AB284" s="95"/>
    </row>
    <row r="285" spans="1:28"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c r="AA285" s="95"/>
      <c r="AB285" s="95"/>
    </row>
    <row r="286" spans="1:28"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c r="AA286" s="95"/>
      <c r="AB286" s="95"/>
    </row>
    <row r="287" spans="1:28"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c r="AA287" s="95"/>
      <c r="AB287" s="95"/>
    </row>
    <row r="288" spans="1:28"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c r="AA288" s="95"/>
      <c r="AB288" s="95"/>
    </row>
    <row r="289" spans="1:28"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c r="AA289" s="95"/>
      <c r="AB289" s="95"/>
    </row>
    <row r="290" spans="1:28"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c r="AA290" s="95"/>
      <c r="AB290" s="95"/>
    </row>
    <row r="291" spans="1:28"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c r="AB291" s="95"/>
    </row>
    <row r="292" spans="1:28"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c r="AB292" s="95"/>
    </row>
    <row r="293" spans="1:28"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c r="AA293" s="95"/>
      <c r="AB293" s="95"/>
    </row>
    <row r="294" spans="1:28"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c r="AA294" s="95"/>
      <c r="AB294" s="95"/>
    </row>
    <row r="295" spans="1:28"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c r="AA295" s="95"/>
      <c r="AB295" s="95"/>
    </row>
    <row r="296" spans="1:28"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c r="AA296" s="95"/>
      <c r="AB296" s="95"/>
    </row>
    <row r="297" spans="1:28"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c r="AA297" s="95"/>
      <c r="AB297" s="95"/>
    </row>
    <row r="298" spans="1:28"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c r="AA298" s="95"/>
      <c r="AB298" s="95"/>
    </row>
    <row r="299" spans="1:28"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c r="AA299" s="95"/>
      <c r="AB299" s="95"/>
    </row>
    <row r="300" spans="1:28"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c r="AA300" s="95"/>
      <c r="AB300" s="95"/>
    </row>
    <row r="301" spans="1:28"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c r="AA301" s="95"/>
      <c r="AB301" s="95"/>
    </row>
    <row r="302" spans="1:28"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c r="AA302" s="95"/>
      <c r="AB302" s="95"/>
    </row>
    <row r="303" spans="1:28"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c r="AA303" s="95"/>
      <c r="AB303" s="95"/>
    </row>
    <row r="304" spans="1:28"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c r="AB304" s="95"/>
    </row>
    <row r="305" spans="1:28"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c r="AB305" s="95"/>
    </row>
    <row r="306" spans="1:28"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c r="AA306" s="95"/>
      <c r="AB306" s="95"/>
    </row>
    <row r="307" spans="1:28"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c r="AA307" s="95"/>
      <c r="AB307" s="95"/>
    </row>
    <row r="308" spans="1:28"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c r="AA308" s="95"/>
      <c r="AB308" s="95"/>
    </row>
    <row r="309" spans="1:28"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c r="AA309" s="95"/>
      <c r="AB309" s="95"/>
    </row>
    <row r="310" spans="1:28"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c r="AB310" s="95"/>
    </row>
    <row r="311" spans="1:28"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c r="AB311" s="95"/>
    </row>
    <row r="312" spans="1:28"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c r="AA312" s="95"/>
      <c r="AB312" s="95"/>
    </row>
    <row r="313" spans="1:28"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c r="AA313" s="95"/>
      <c r="AB313" s="95"/>
    </row>
    <row r="314" spans="1:28"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c r="AB314" s="95"/>
    </row>
    <row r="315" spans="1:28"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row>
    <row r="316" spans="1:28"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c r="AA316" s="95"/>
      <c r="AB316" s="95"/>
    </row>
    <row r="317" spans="1:28"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c r="AA317" s="95"/>
      <c r="AB317" s="95"/>
    </row>
    <row r="318" spans="1:28"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c r="AA318" s="95"/>
      <c r="AB318" s="95"/>
    </row>
    <row r="319" spans="1:28"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c r="AB319" s="95"/>
    </row>
    <row r="320" spans="1:28"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c r="AB320" s="95"/>
    </row>
    <row r="321" spans="1:28"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c r="AB321" s="95"/>
    </row>
    <row r="322" spans="1:28"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c r="AB322" s="95"/>
    </row>
    <row r="323" spans="1:28"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row>
    <row r="324" spans="1:28"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c r="AA324" s="95"/>
      <c r="AB324" s="95"/>
    </row>
    <row r="325" spans="1:28"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row>
    <row r="326" spans="1:28"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c r="AA326" s="95"/>
      <c r="AB326" s="95"/>
    </row>
    <row r="327" spans="1:28"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c r="AA327" s="95"/>
      <c r="AB327" s="95"/>
    </row>
    <row r="328" spans="1:28"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c r="AA328" s="95"/>
      <c r="AB328" s="95"/>
    </row>
    <row r="329" spans="1:28"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row>
    <row r="330" spans="1:28"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c r="AA330" s="95"/>
      <c r="AB330" s="95"/>
    </row>
    <row r="331" spans="1:28"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c r="AA331" s="95"/>
      <c r="AB331" s="95"/>
    </row>
    <row r="332" spans="1:28"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c r="AA332" s="95"/>
      <c r="AB332" s="95"/>
    </row>
    <row r="333" spans="1:28"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c r="AB333" s="95"/>
    </row>
    <row r="334" spans="1:28"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c r="AB334" s="95"/>
    </row>
    <row r="335" spans="1:28"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c r="AA335" s="95"/>
      <c r="AB335" s="95"/>
    </row>
    <row r="336" spans="1:28"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c r="AA336" s="95"/>
      <c r="AB336" s="95"/>
    </row>
    <row r="337" spans="1:28"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c r="AA337" s="95"/>
      <c r="AB337" s="95"/>
    </row>
    <row r="338" spans="1:28"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c r="AA338" s="95"/>
      <c r="AB338" s="95"/>
    </row>
    <row r="339" spans="1:28"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c r="AA339" s="95"/>
      <c r="AB339" s="95"/>
    </row>
    <row r="340" spans="1:28"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c r="AA340" s="95"/>
      <c r="AB340" s="95"/>
    </row>
    <row r="341" spans="1:28"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c r="AA341" s="95"/>
      <c r="AB341" s="95"/>
    </row>
    <row r="342" spans="1:28"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c r="AA342" s="95"/>
      <c r="AB342" s="95"/>
    </row>
    <row r="343" spans="1:28"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c r="AA343" s="95"/>
      <c r="AB343" s="95"/>
    </row>
    <row r="344" spans="1:28"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c r="AA344" s="95"/>
      <c r="AB344" s="95"/>
    </row>
    <row r="345" spans="1:28"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c r="AA345" s="95"/>
      <c r="AB345" s="95"/>
    </row>
    <row r="346" spans="1:28"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c r="AA346" s="95"/>
      <c r="AB346" s="95"/>
    </row>
    <row r="347" spans="1:28"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c r="AA347" s="95"/>
      <c r="AB347" s="95"/>
    </row>
    <row r="348" spans="1:28"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c r="AA348" s="95"/>
      <c r="AB348" s="95"/>
    </row>
    <row r="349" spans="1:28"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c r="AB349" s="95"/>
    </row>
    <row r="350" spans="1:28"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c r="AB350" s="95"/>
    </row>
    <row r="351" spans="1:28"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c r="AA351" s="95"/>
      <c r="AB351" s="95"/>
    </row>
    <row r="352" spans="1:28"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c r="AA352" s="95"/>
      <c r="AB352" s="95"/>
    </row>
    <row r="353" spans="1:28"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c r="AA353" s="95"/>
      <c r="AB353" s="95"/>
    </row>
    <row r="354" spans="1:28"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c r="AB354" s="95"/>
    </row>
    <row r="355" spans="1:28"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c r="AA355" s="95"/>
      <c r="AB355" s="95"/>
    </row>
    <row r="356" spans="1:28"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c r="AA356" s="95"/>
      <c r="AB356" s="95"/>
    </row>
    <row r="357" spans="1:28"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c r="AA357" s="95"/>
      <c r="AB357" s="95"/>
    </row>
    <row r="358" spans="1:28"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c r="AA358" s="95"/>
      <c r="AB358" s="95"/>
    </row>
    <row r="359" spans="1:28"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c r="AB359" s="95"/>
    </row>
    <row r="360" spans="1:28" x14ac:dyDescent="0.25">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c r="AA360" s="95"/>
      <c r="AB360" s="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9" zoomScale="70" zoomScaleNormal="60" zoomScaleSheetLayoutView="70" workbookViewId="0">
      <selection activeCell="L31" sqref="L31"/>
    </sheetView>
  </sheetViews>
  <sheetFormatPr defaultColWidth="10.7109375" defaultRowHeight="15.75" x14ac:dyDescent="0.25"/>
  <cols>
    <col min="1" max="1" width="9.5703125" style="6" customWidth="1"/>
    <col min="2" max="3" width="9.140625" style="6" customWidth="1"/>
    <col min="4" max="4" width="16.140625" style="6" customWidth="1"/>
    <col min="5" max="5" width="11.140625" style="6" customWidth="1"/>
    <col min="6" max="6" width="11" style="6" customWidth="1"/>
    <col min="7" max="8" width="8.7109375" style="6" customWidth="1"/>
    <col min="9" max="9" width="10.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65</v>
      </c>
    </row>
    <row r="2" spans="1:20" s="2" customFormat="1" ht="18.75" customHeight="1" x14ac:dyDescent="0.3">
      <c r="H2" s="69"/>
      <c r="T2" s="1" t="s">
        <v>7</v>
      </c>
    </row>
    <row r="3" spans="1:20" s="2" customFormat="1" ht="18.75" customHeight="1" x14ac:dyDescent="0.3">
      <c r="H3" s="69"/>
      <c r="T3" s="1" t="s">
        <v>64</v>
      </c>
    </row>
    <row r="4" spans="1:20" s="2" customFormat="1" ht="18.75" customHeight="1" x14ac:dyDescent="0.3">
      <c r="H4" s="69"/>
      <c r="T4" s="1"/>
    </row>
    <row r="5" spans="1:20" s="2" customFormat="1" x14ac:dyDescent="0.2">
      <c r="A5" s="409" t="str">
        <f>'2. паспорт  ТП'!A4</f>
        <v>Год раскрытия информации: 2023 год</v>
      </c>
      <c r="B5" s="409"/>
      <c r="C5" s="409"/>
      <c r="D5" s="409"/>
      <c r="E5" s="409"/>
      <c r="F5" s="409"/>
      <c r="G5" s="409"/>
      <c r="H5" s="409"/>
      <c r="I5" s="409"/>
      <c r="J5" s="409"/>
      <c r="K5" s="409"/>
      <c r="L5" s="409"/>
      <c r="M5" s="409"/>
      <c r="N5" s="409"/>
      <c r="O5" s="409"/>
      <c r="P5" s="409"/>
      <c r="Q5" s="409"/>
      <c r="R5" s="409"/>
      <c r="S5" s="409"/>
      <c r="T5" s="409"/>
    </row>
    <row r="6" spans="1:20" s="2" customFormat="1" x14ac:dyDescent="0.2">
      <c r="A6" s="70"/>
      <c r="H6" s="69"/>
    </row>
    <row r="7" spans="1:20" s="2" customFormat="1" ht="18.75" x14ac:dyDescent="0.2">
      <c r="A7" s="411" t="s">
        <v>6</v>
      </c>
      <c r="B7" s="411"/>
      <c r="C7" s="411"/>
      <c r="D7" s="411"/>
      <c r="E7" s="411"/>
      <c r="F7" s="411"/>
      <c r="G7" s="411"/>
      <c r="H7" s="411"/>
      <c r="I7" s="411"/>
      <c r="J7" s="411"/>
      <c r="K7" s="411"/>
      <c r="L7" s="411"/>
      <c r="M7" s="411"/>
      <c r="N7" s="411"/>
      <c r="O7" s="411"/>
      <c r="P7" s="411"/>
      <c r="Q7" s="411"/>
      <c r="R7" s="411"/>
      <c r="S7" s="411"/>
      <c r="T7" s="411"/>
    </row>
    <row r="8" spans="1:20" s="2" customFormat="1" ht="18.75" x14ac:dyDescent="0.2">
      <c r="A8" s="411"/>
      <c r="B8" s="411"/>
      <c r="C8" s="411"/>
      <c r="D8" s="411"/>
      <c r="E8" s="411"/>
      <c r="F8" s="411"/>
      <c r="G8" s="411"/>
      <c r="H8" s="411"/>
      <c r="I8" s="411"/>
      <c r="J8" s="411"/>
      <c r="K8" s="411"/>
      <c r="L8" s="411"/>
      <c r="M8" s="411"/>
      <c r="N8" s="411"/>
      <c r="O8" s="411"/>
      <c r="P8" s="411"/>
      <c r="Q8" s="411"/>
      <c r="R8" s="411"/>
      <c r="S8" s="411"/>
      <c r="T8" s="411"/>
    </row>
    <row r="9" spans="1:20" s="2" customFormat="1" ht="18.75" customHeight="1" x14ac:dyDescent="0.2">
      <c r="A9" s="414" t="str">
        <f>'2. паспорт  ТП'!A8</f>
        <v>Акционерное общество "Россети Янтарь"</v>
      </c>
      <c r="B9" s="414"/>
      <c r="C9" s="414"/>
      <c r="D9" s="414"/>
      <c r="E9" s="414"/>
      <c r="F9" s="414"/>
      <c r="G9" s="414"/>
      <c r="H9" s="414"/>
      <c r="I9" s="414"/>
      <c r="J9" s="414"/>
      <c r="K9" s="414"/>
      <c r="L9" s="414"/>
      <c r="M9" s="414"/>
      <c r="N9" s="414"/>
      <c r="O9" s="414"/>
      <c r="P9" s="414"/>
      <c r="Q9" s="414"/>
      <c r="R9" s="414"/>
      <c r="S9" s="414"/>
      <c r="T9" s="414"/>
    </row>
    <row r="10" spans="1:20" s="2" customFormat="1" ht="18.75" customHeight="1" x14ac:dyDescent="0.2">
      <c r="A10" s="412" t="s">
        <v>5</v>
      </c>
      <c r="B10" s="412"/>
      <c r="C10" s="412"/>
      <c r="D10" s="412"/>
      <c r="E10" s="412"/>
      <c r="F10" s="412"/>
      <c r="G10" s="412"/>
      <c r="H10" s="412"/>
      <c r="I10" s="412"/>
      <c r="J10" s="412"/>
      <c r="K10" s="412"/>
      <c r="L10" s="412"/>
      <c r="M10" s="412"/>
      <c r="N10" s="412"/>
      <c r="O10" s="412"/>
      <c r="P10" s="412"/>
      <c r="Q10" s="412"/>
      <c r="R10" s="412"/>
      <c r="S10" s="412"/>
      <c r="T10" s="412"/>
    </row>
    <row r="11" spans="1:20" s="2" customFormat="1" ht="18.75" x14ac:dyDescent="0.2">
      <c r="A11" s="411"/>
      <c r="B11" s="411"/>
      <c r="C11" s="411"/>
      <c r="D11" s="411"/>
      <c r="E11" s="411"/>
      <c r="F11" s="411"/>
      <c r="G11" s="411"/>
      <c r="H11" s="411"/>
      <c r="I11" s="411"/>
      <c r="J11" s="411"/>
      <c r="K11" s="411"/>
      <c r="L11" s="411"/>
      <c r="M11" s="411"/>
      <c r="N11" s="411"/>
      <c r="O11" s="411"/>
      <c r="P11" s="411"/>
      <c r="Q11" s="411"/>
      <c r="R11" s="411"/>
      <c r="S11" s="411"/>
      <c r="T11" s="411"/>
    </row>
    <row r="12" spans="1:20" s="2" customFormat="1" ht="18.75" customHeight="1" x14ac:dyDescent="0.2">
      <c r="A12" s="414" t="str">
        <f>'2. паспорт  ТП'!A11</f>
        <v>L_19-1035</v>
      </c>
      <c r="B12" s="414"/>
      <c r="C12" s="414"/>
      <c r="D12" s="414"/>
      <c r="E12" s="414"/>
      <c r="F12" s="414"/>
      <c r="G12" s="414"/>
      <c r="H12" s="414"/>
      <c r="I12" s="414"/>
      <c r="J12" s="414"/>
      <c r="K12" s="414"/>
      <c r="L12" s="414"/>
      <c r="M12" s="414"/>
      <c r="N12" s="414"/>
      <c r="O12" s="414"/>
      <c r="P12" s="414"/>
      <c r="Q12" s="414"/>
      <c r="R12" s="414"/>
      <c r="S12" s="414"/>
      <c r="T12" s="414"/>
    </row>
    <row r="13" spans="1:20" s="2" customFormat="1" ht="18.75" customHeight="1" x14ac:dyDescent="0.2">
      <c r="A13" s="412" t="s">
        <v>4</v>
      </c>
      <c r="B13" s="412"/>
      <c r="C13" s="412"/>
      <c r="D13" s="412"/>
      <c r="E13" s="412"/>
      <c r="F13" s="412"/>
      <c r="G13" s="412"/>
      <c r="H13" s="412"/>
      <c r="I13" s="412"/>
      <c r="J13" s="412"/>
      <c r="K13" s="412"/>
      <c r="L13" s="412"/>
      <c r="M13" s="412"/>
      <c r="N13" s="412"/>
      <c r="O13" s="412"/>
      <c r="P13" s="412"/>
      <c r="Q13" s="412"/>
      <c r="R13" s="412"/>
      <c r="S13" s="412"/>
      <c r="T13" s="412"/>
    </row>
    <row r="14" spans="1:20" s="76" customFormat="1" ht="15.75" customHeight="1" x14ac:dyDescent="0.2">
      <c r="A14" s="425"/>
      <c r="B14" s="425"/>
      <c r="C14" s="425"/>
      <c r="D14" s="425"/>
      <c r="E14" s="425"/>
      <c r="F14" s="425"/>
      <c r="G14" s="425"/>
      <c r="H14" s="425"/>
      <c r="I14" s="425"/>
      <c r="J14" s="425"/>
      <c r="K14" s="425"/>
      <c r="L14" s="425"/>
      <c r="M14" s="425"/>
      <c r="N14" s="425"/>
      <c r="O14" s="425"/>
      <c r="P14" s="425"/>
      <c r="Q14" s="425"/>
      <c r="R14" s="425"/>
      <c r="S14" s="425"/>
      <c r="T14" s="425"/>
    </row>
    <row r="15" spans="1:20" s="77" customFormat="1" ht="95.25" customHeight="1" x14ac:dyDescent="0.2">
      <c r="A15" s="448" t="str">
        <f>'2. паспорт  ТП'!A14</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48"/>
      <c r="C15" s="448"/>
      <c r="D15" s="448"/>
      <c r="E15" s="448"/>
      <c r="F15" s="448"/>
      <c r="G15" s="448"/>
      <c r="H15" s="448"/>
      <c r="I15" s="448"/>
      <c r="J15" s="448"/>
      <c r="K15" s="448"/>
      <c r="L15" s="448"/>
      <c r="M15" s="448"/>
      <c r="N15" s="448"/>
      <c r="O15" s="448"/>
      <c r="P15" s="448"/>
      <c r="Q15" s="448"/>
      <c r="R15" s="448"/>
      <c r="S15" s="448"/>
      <c r="T15" s="448"/>
    </row>
    <row r="16" spans="1:20" s="77" customFormat="1" ht="15" customHeight="1" x14ac:dyDescent="0.2">
      <c r="A16" s="412" t="s">
        <v>3</v>
      </c>
      <c r="B16" s="412"/>
      <c r="C16" s="412"/>
      <c r="D16" s="412"/>
      <c r="E16" s="412"/>
      <c r="F16" s="412"/>
      <c r="G16" s="412"/>
      <c r="H16" s="412"/>
      <c r="I16" s="412"/>
      <c r="J16" s="412"/>
      <c r="K16" s="412"/>
      <c r="L16" s="412"/>
      <c r="M16" s="412"/>
      <c r="N16" s="412"/>
      <c r="O16" s="412"/>
      <c r="P16" s="412"/>
      <c r="Q16" s="412"/>
      <c r="R16" s="412"/>
      <c r="S16" s="412"/>
      <c r="T16" s="412"/>
    </row>
    <row r="17" spans="1:113" s="77" customFormat="1" ht="15" customHeight="1" x14ac:dyDescent="0.2">
      <c r="A17" s="428"/>
      <c r="B17" s="428"/>
      <c r="C17" s="428"/>
      <c r="D17" s="428"/>
      <c r="E17" s="428"/>
      <c r="F17" s="428"/>
      <c r="G17" s="428"/>
      <c r="H17" s="428"/>
      <c r="I17" s="428"/>
      <c r="J17" s="428"/>
      <c r="K17" s="428"/>
      <c r="L17" s="428"/>
      <c r="M17" s="428"/>
      <c r="N17" s="428"/>
      <c r="O17" s="428"/>
      <c r="P17" s="428"/>
      <c r="Q17" s="428"/>
      <c r="R17" s="428"/>
      <c r="S17" s="428"/>
      <c r="T17" s="428"/>
    </row>
    <row r="18" spans="1:113" s="77" customFormat="1" ht="15" customHeight="1" x14ac:dyDescent="0.2">
      <c r="A18" s="419" t="s">
        <v>342</v>
      </c>
      <c r="B18" s="419"/>
      <c r="C18" s="419"/>
      <c r="D18" s="419"/>
      <c r="E18" s="419"/>
      <c r="F18" s="419"/>
      <c r="G18" s="419"/>
      <c r="H18" s="419"/>
      <c r="I18" s="419"/>
      <c r="J18" s="419"/>
      <c r="K18" s="419"/>
      <c r="L18" s="419"/>
      <c r="M18" s="419"/>
      <c r="N18" s="419"/>
      <c r="O18" s="419"/>
      <c r="P18" s="419"/>
      <c r="Q18" s="419"/>
      <c r="R18" s="419"/>
      <c r="S18" s="419"/>
      <c r="T18" s="419"/>
    </row>
    <row r="19" spans="1:113" s="12" customFormat="1" ht="21" customHeight="1" x14ac:dyDescent="0.25">
      <c r="A19" s="438"/>
      <c r="B19" s="438"/>
      <c r="C19" s="438"/>
      <c r="D19" s="438"/>
      <c r="E19" s="438"/>
      <c r="F19" s="438"/>
      <c r="G19" s="438"/>
      <c r="H19" s="438"/>
      <c r="I19" s="438"/>
      <c r="J19" s="438"/>
      <c r="K19" s="438"/>
      <c r="L19" s="438"/>
      <c r="M19" s="438"/>
      <c r="N19" s="438"/>
      <c r="O19" s="438"/>
      <c r="P19" s="438"/>
      <c r="Q19" s="438"/>
      <c r="R19" s="438"/>
      <c r="S19" s="438"/>
      <c r="T19" s="438"/>
    </row>
    <row r="20" spans="1:113" ht="46.5" customHeight="1" x14ac:dyDescent="0.25">
      <c r="A20" s="439" t="s">
        <v>2</v>
      </c>
      <c r="B20" s="431" t="s">
        <v>192</v>
      </c>
      <c r="C20" s="432"/>
      <c r="D20" s="435" t="s">
        <v>115</v>
      </c>
      <c r="E20" s="431" t="s">
        <v>370</v>
      </c>
      <c r="F20" s="432"/>
      <c r="G20" s="431" t="s">
        <v>210</v>
      </c>
      <c r="H20" s="432"/>
      <c r="I20" s="431" t="s">
        <v>114</v>
      </c>
      <c r="J20" s="432"/>
      <c r="K20" s="435" t="s">
        <v>113</v>
      </c>
      <c r="L20" s="431" t="s">
        <v>112</v>
      </c>
      <c r="M20" s="432"/>
      <c r="N20" s="431" t="s">
        <v>515</v>
      </c>
      <c r="O20" s="432"/>
      <c r="P20" s="435" t="s">
        <v>111</v>
      </c>
      <c r="Q20" s="445" t="s">
        <v>110</v>
      </c>
      <c r="R20" s="446"/>
      <c r="S20" s="445" t="s">
        <v>109</v>
      </c>
      <c r="T20" s="447"/>
    </row>
    <row r="21" spans="1:113" ht="204.75" customHeight="1" x14ac:dyDescent="0.25">
      <c r="A21" s="440"/>
      <c r="B21" s="433"/>
      <c r="C21" s="434"/>
      <c r="D21" s="437"/>
      <c r="E21" s="433"/>
      <c r="F21" s="434"/>
      <c r="G21" s="433"/>
      <c r="H21" s="434"/>
      <c r="I21" s="433"/>
      <c r="J21" s="434"/>
      <c r="K21" s="436"/>
      <c r="L21" s="433"/>
      <c r="M21" s="434"/>
      <c r="N21" s="433"/>
      <c r="O21" s="434"/>
      <c r="P21" s="436"/>
      <c r="Q21" s="25" t="s">
        <v>108</v>
      </c>
      <c r="R21" s="25" t="s">
        <v>341</v>
      </c>
      <c r="S21" s="25" t="s">
        <v>107</v>
      </c>
      <c r="T21" s="25" t="s">
        <v>106</v>
      </c>
    </row>
    <row r="22" spans="1:113" ht="51.75" customHeight="1" x14ac:dyDescent="0.25">
      <c r="A22" s="441"/>
      <c r="B22" s="41" t="s">
        <v>104</v>
      </c>
      <c r="C22" s="41" t="s">
        <v>105</v>
      </c>
      <c r="D22" s="436"/>
      <c r="E22" s="41" t="s">
        <v>104</v>
      </c>
      <c r="F22" s="41" t="s">
        <v>105</v>
      </c>
      <c r="G22" s="41" t="s">
        <v>104</v>
      </c>
      <c r="H22" s="41" t="s">
        <v>105</v>
      </c>
      <c r="I22" s="41" t="s">
        <v>104</v>
      </c>
      <c r="J22" s="41" t="s">
        <v>105</v>
      </c>
      <c r="K22" s="41" t="s">
        <v>104</v>
      </c>
      <c r="L22" s="41" t="s">
        <v>104</v>
      </c>
      <c r="M22" s="41" t="s">
        <v>105</v>
      </c>
      <c r="N22" s="41" t="s">
        <v>104</v>
      </c>
      <c r="O22" s="41" t="s">
        <v>105</v>
      </c>
      <c r="P22" s="65" t="s">
        <v>104</v>
      </c>
      <c r="Q22" s="25" t="s">
        <v>104</v>
      </c>
      <c r="R22" s="25" t="s">
        <v>104</v>
      </c>
      <c r="S22" s="25" t="s">
        <v>104</v>
      </c>
      <c r="T22" s="25" t="s">
        <v>104</v>
      </c>
    </row>
    <row r="23" spans="1:113" x14ac:dyDescent="0.25">
      <c r="A23" s="13">
        <v>1</v>
      </c>
      <c r="B23" s="13">
        <v>2</v>
      </c>
      <c r="C23" s="13">
        <v>3</v>
      </c>
      <c r="D23" s="13">
        <v>4</v>
      </c>
      <c r="E23" s="13">
        <v>5</v>
      </c>
      <c r="F23" s="13">
        <v>6</v>
      </c>
      <c r="G23" s="13">
        <v>7</v>
      </c>
      <c r="H23" s="13">
        <v>8</v>
      </c>
      <c r="I23" s="13">
        <v>9</v>
      </c>
      <c r="J23" s="13">
        <v>10</v>
      </c>
      <c r="K23" s="13">
        <v>11</v>
      </c>
      <c r="L23" s="13">
        <v>12</v>
      </c>
      <c r="M23" s="13">
        <v>13</v>
      </c>
      <c r="N23" s="13">
        <v>14</v>
      </c>
      <c r="O23" s="13">
        <v>15</v>
      </c>
      <c r="P23" s="13">
        <v>16</v>
      </c>
      <c r="Q23" s="13">
        <v>17</v>
      </c>
      <c r="R23" s="13">
        <v>18</v>
      </c>
      <c r="S23" s="13">
        <v>19</v>
      </c>
      <c r="T23" s="13">
        <v>20</v>
      </c>
    </row>
    <row r="24" spans="1:113" s="12" customFormat="1" ht="47.25" customHeight="1" x14ac:dyDescent="0.25">
      <c r="A24" s="334">
        <v>1</v>
      </c>
      <c r="B24" s="335" t="s">
        <v>665</v>
      </c>
      <c r="C24" s="335" t="s">
        <v>665</v>
      </c>
      <c r="D24" s="335" t="s">
        <v>100</v>
      </c>
      <c r="E24" s="335" t="s">
        <v>673</v>
      </c>
      <c r="F24" s="335" t="s">
        <v>674</v>
      </c>
      <c r="G24" s="334" t="s">
        <v>666</v>
      </c>
      <c r="H24" s="334" t="s">
        <v>666</v>
      </c>
      <c r="I24" s="334">
        <v>2011</v>
      </c>
      <c r="J24" s="335" t="s">
        <v>718</v>
      </c>
      <c r="K24" s="334">
        <v>2012</v>
      </c>
      <c r="L24" s="336" t="s">
        <v>67</v>
      </c>
      <c r="M24" s="336" t="s">
        <v>67</v>
      </c>
      <c r="N24" s="337">
        <v>0.16</v>
      </c>
      <c r="O24" s="334">
        <v>0.16</v>
      </c>
      <c r="P24" s="334" t="s">
        <v>260</v>
      </c>
      <c r="Q24" s="334" t="s">
        <v>260</v>
      </c>
      <c r="R24" s="334" t="s">
        <v>260</v>
      </c>
      <c r="S24" s="442" t="s">
        <v>683</v>
      </c>
      <c r="T24" s="442" t="s">
        <v>684</v>
      </c>
    </row>
    <row r="25" spans="1:113" s="11" customFormat="1" ht="47.25" x14ac:dyDescent="0.2">
      <c r="A25" s="334">
        <v>2</v>
      </c>
      <c r="B25" s="335" t="s">
        <v>667</v>
      </c>
      <c r="C25" s="335" t="s">
        <v>667</v>
      </c>
      <c r="D25" s="335" t="s">
        <v>100</v>
      </c>
      <c r="E25" s="335" t="s">
        <v>673</v>
      </c>
      <c r="F25" s="335" t="s">
        <v>674</v>
      </c>
      <c r="G25" s="334" t="s">
        <v>666</v>
      </c>
      <c r="H25" s="334" t="s">
        <v>666</v>
      </c>
      <c r="I25" s="334">
        <v>1969</v>
      </c>
      <c r="J25" s="335" t="s">
        <v>718</v>
      </c>
      <c r="K25" s="334">
        <v>1971</v>
      </c>
      <c r="L25" s="336" t="s">
        <v>67</v>
      </c>
      <c r="M25" s="336" t="s">
        <v>67</v>
      </c>
      <c r="N25" s="337">
        <v>0.16</v>
      </c>
      <c r="O25" s="334">
        <v>0.25</v>
      </c>
      <c r="P25" s="334" t="s">
        <v>260</v>
      </c>
      <c r="Q25" s="334" t="s">
        <v>260</v>
      </c>
      <c r="R25" s="334" t="s">
        <v>260</v>
      </c>
      <c r="S25" s="443"/>
      <c r="T25" s="443" t="s">
        <v>260</v>
      </c>
    </row>
    <row r="26" spans="1:113" s="11" customFormat="1" ht="47.25" x14ac:dyDescent="0.2">
      <c r="A26" s="334">
        <v>3</v>
      </c>
      <c r="B26" s="335" t="s">
        <v>668</v>
      </c>
      <c r="C26" s="335" t="s">
        <v>668</v>
      </c>
      <c r="D26" s="335" t="s">
        <v>100</v>
      </c>
      <c r="E26" s="335" t="s">
        <v>675</v>
      </c>
      <c r="F26" s="335" t="s">
        <v>676</v>
      </c>
      <c r="G26" s="334" t="s">
        <v>664</v>
      </c>
      <c r="H26" s="334" t="s">
        <v>664</v>
      </c>
      <c r="I26" s="334">
        <v>1980</v>
      </c>
      <c r="J26" s="335" t="s">
        <v>718</v>
      </c>
      <c r="K26" s="334">
        <v>1987</v>
      </c>
      <c r="L26" s="336" t="s">
        <v>67</v>
      </c>
      <c r="M26" s="336" t="s">
        <v>67</v>
      </c>
      <c r="N26" s="337">
        <v>0.25</v>
      </c>
      <c r="O26" s="334">
        <v>0.4</v>
      </c>
      <c r="P26" s="334" t="s">
        <v>260</v>
      </c>
      <c r="Q26" s="334" t="s">
        <v>260</v>
      </c>
      <c r="R26" s="334" t="s">
        <v>260</v>
      </c>
      <c r="S26" s="443"/>
      <c r="T26" s="443" t="s">
        <v>260</v>
      </c>
    </row>
    <row r="27" spans="1:113" ht="47.25" x14ac:dyDescent="0.25">
      <c r="A27" s="334">
        <v>4</v>
      </c>
      <c r="B27" s="335" t="s">
        <v>669</v>
      </c>
      <c r="C27" s="335" t="s">
        <v>669</v>
      </c>
      <c r="D27" s="335" t="s">
        <v>100</v>
      </c>
      <c r="E27" s="335" t="s">
        <v>677</v>
      </c>
      <c r="F27" s="335" t="s">
        <v>674</v>
      </c>
      <c r="G27" s="334" t="s">
        <v>666</v>
      </c>
      <c r="H27" s="334" t="s">
        <v>666</v>
      </c>
      <c r="I27" s="334">
        <v>1977</v>
      </c>
      <c r="J27" s="335" t="s">
        <v>718</v>
      </c>
      <c r="K27" s="334">
        <v>1977</v>
      </c>
      <c r="L27" s="336" t="s">
        <v>67</v>
      </c>
      <c r="M27" s="336" t="s">
        <v>67</v>
      </c>
      <c r="N27" s="337">
        <v>0.1</v>
      </c>
      <c r="O27" s="334">
        <v>0.25</v>
      </c>
      <c r="P27" s="334" t="s">
        <v>260</v>
      </c>
      <c r="Q27" s="334" t="s">
        <v>260</v>
      </c>
      <c r="R27" s="334" t="s">
        <v>260</v>
      </c>
      <c r="S27" s="443"/>
      <c r="T27" s="443" t="s">
        <v>260</v>
      </c>
    </row>
    <row r="28" spans="1:113" ht="47.25" x14ac:dyDescent="0.25">
      <c r="A28" s="334">
        <v>5</v>
      </c>
      <c r="B28" s="335" t="s">
        <v>670</v>
      </c>
      <c r="C28" s="335" t="s">
        <v>670</v>
      </c>
      <c r="D28" s="335" t="s">
        <v>100</v>
      </c>
      <c r="E28" s="335" t="s">
        <v>673</v>
      </c>
      <c r="F28" s="335" t="s">
        <v>674</v>
      </c>
      <c r="G28" s="334" t="s">
        <v>664</v>
      </c>
      <c r="H28" s="334" t="s">
        <v>664</v>
      </c>
      <c r="I28" s="334">
        <v>1974</v>
      </c>
      <c r="J28" s="335" t="s">
        <v>718</v>
      </c>
      <c r="K28" s="334">
        <v>1974</v>
      </c>
      <c r="L28" s="336" t="s">
        <v>67</v>
      </c>
      <c r="M28" s="336" t="s">
        <v>67</v>
      </c>
      <c r="N28" s="337">
        <v>0.16</v>
      </c>
      <c r="O28" s="334">
        <v>0.25</v>
      </c>
      <c r="P28" s="334" t="s">
        <v>260</v>
      </c>
      <c r="Q28" s="334" t="s">
        <v>260</v>
      </c>
      <c r="R28" s="334" t="s">
        <v>260</v>
      </c>
      <c r="S28" s="443"/>
      <c r="T28" s="443" t="s">
        <v>260</v>
      </c>
      <c r="U28" s="9"/>
      <c r="V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row>
    <row r="29" spans="1:113" ht="47.25" x14ac:dyDescent="0.25">
      <c r="A29" s="334">
        <v>6</v>
      </c>
      <c r="B29" s="335" t="s">
        <v>671</v>
      </c>
      <c r="C29" s="335" t="s">
        <v>671</v>
      </c>
      <c r="D29" s="335" t="s">
        <v>100</v>
      </c>
      <c r="E29" s="335" t="s">
        <v>673</v>
      </c>
      <c r="F29" s="335" t="s">
        <v>674</v>
      </c>
      <c r="G29" s="334" t="s">
        <v>664</v>
      </c>
      <c r="H29" s="334" t="s">
        <v>664</v>
      </c>
      <c r="I29" s="334">
        <v>1974</v>
      </c>
      <c r="J29" s="335" t="s">
        <v>718</v>
      </c>
      <c r="K29" s="334">
        <v>1974</v>
      </c>
      <c r="L29" s="336" t="s">
        <v>67</v>
      </c>
      <c r="M29" s="336" t="s">
        <v>67</v>
      </c>
      <c r="N29" s="337">
        <v>0.25</v>
      </c>
      <c r="O29" s="334">
        <v>0.4</v>
      </c>
      <c r="P29" s="334" t="s">
        <v>260</v>
      </c>
      <c r="Q29" s="334" t="s">
        <v>260</v>
      </c>
      <c r="R29" s="334" t="s">
        <v>260</v>
      </c>
      <c r="S29" s="443"/>
      <c r="T29" s="443" t="s">
        <v>260</v>
      </c>
      <c r="U29" s="10"/>
      <c r="V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ht="47.25" x14ac:dyDescent="0.25">
      <c r="A30" s="334">
        <v>7</v>
      </c>
      <c r="B30" s="335" t="s">
        <v>672</v>
      </c>
      <c r="C30" s="335" t="s">
        <v>672</v>
      </c>
      <c r="D30" s="335" t="s">
        <v>100</v>
      </c>
      <c r="E30" s="335" t="s">
        <v>673</v>
      </c>
      <c r="F30" s="335" t="s">
        <v>674</v>
      </c>
      <c r="G30" s="334" t="s">
        <v>664</v>
      </c>
      <c r="H30" s="334" t="s">
        <v>664</v>
      </c>
      <c r="I30" s="334">
        <v>1974</v>
      </c>
      <c r="J30" s="335" t="s">
        <v>718</v>
      </c>
      <c r="K30" s="334">
        <v>1974</v>
      </c>
      <c r="L30" s="336" t="s">
        <v>67</v>
      </c>
      <c r="M30" s="336" t="s">
        <v>67</v>
      </c>
      <c r="N30" s="337">
        <v>0.25</v>
      </c>
      <c r="O30" s="334">
        <v>0.25</v>
      </c>
      <c r="P30" s="334" t="s">
        <v>260</v>
      </c>
      <c r="Q30" s="334" t="s">
        <v>260</v>
      </c>
      <c r="R30" s="334" t="s">
        <v>260</v>
      </c>
      <c r="S30" s="444"/>
      <c r="T30" s="444" t="s">
        <v>260</v>
      </c>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row>
    <row r="31" spans="1:113" x14ac:dyDescent="0.25">
      <c r="N31" s="6">
        <v>1.33</v>
      </c>
      <c r="O31" s="6">
        <v>1.96</v>
      </c>
      <c r="P31" s="6">
        <v>0.63</v>
      </c>
    </row>
    <row r="33" spans="2:18" x14ac:dyDescent="0.25">
      <c r="B33" s="9" t="s">
        <v>103</v>
      </c>
      <c r="C33" s="9"/>
      <c r="D33" s="9"/>
      <c r="E33" s="9"/>
      <c r="F33" s="9"/>
      <c r="G33" s="9"/>
      <c r="H33" s="9"/>
      <c r="I33" s="9"/>
      <c r="J33" s="9"/>
      <c r="K33" s="9"/>
      <c r="L33" s="9"/>
      <c r="M33" s="9"/>
      <c r="N33" s="9"/>
      <c r="O33" s="9"/>
      <c r="P33" s="9"/>
      <c r="Q33" s="9"/>
      <c r="R33" s="9"/>
    </row>
    <row r="34" spans="2:18" x14ac:dyDescent="0.25">
      <c r="B34" s="430" t="s">
        <v>376</v>
      </c>
      <c r="C34" s="430"/>
      <c r="D34" s="430"/>
      <c r="E34" s="430"/>
      <c r="F34" s="430"/>
      <c r="G34" s="430"/>
      <c r="H34" s="430"/>
      <c r="I34" s="430"/>
      <c r="J34" s="430"/>
      <c r="K34" s="430"/>
      <c r="L34" s="430"/>
      <c r="M34" s="430"/>
      <c r="N34" s="430"/>
      <c r="O34" s="430"/>
      <c r="P34" s="430"/>
      <c r="Q34" s="430"/>
      <c r="R34" s="430"/>
    </row>
    <row r="35" spans="2:18" x14ac:dyDescent="0.25">
      <c r="B35" s="9"/>
      <c r="C35" s="9"/>
      <c r="D35" s="9"/>
      <c r="E35" s="9"/>
      <c r="F35" s="9"/>
      <c r="G35" s="9"/>
      <c r="H35" s="9"/>
      <c r="I35" s="9"/>
      <c r="J35" s="9"/>
      <c r="K35" s="9"/>
      <c r="L35" s="9"/>
      <c r="M35" s="9"/>
      <c r="N35" s="9"/>
      <c r="O35" s="9"/>
      <c r="P35" s="9"/>
      <c r="Q35" s="9"/>
      <c r="R35" s="9"/>
    </row>
    <row r="36" spans="2:18" x14ac:dyDescent="0.25">
      <c r="B36" s="8" t="s">
        <v>340</v>
      </c>
      <c r="C36" s="8"/>
      <c r="D36" s="8"/>
      <c r="E36" s="8"/>
      <c r="F36" s="7"/>
      <c r="G36" s="7"/>
      <c r="H36" s="8"/>
      <c r="I36" s="8"/>
      <c r="J36" s="8"/>
      <c r="K36" s="8"/>
      <c r="L36" s="8"/>
      <c r="M36" s="8"/>
      <c r="N36" s="8"/>
      <c r="O36" s="8"/>
      <c r="P36" s="8"/>
      <c r="Q36" s="8"/>
      <c r="R36" s="8"/>
    </row>
    <row r="37" spans="2:18" x14ac:dyDescent="0.25">
      <c r="B37" s="8" t="s">
        <v>102</v>
      </c>
      <c r="C37" s="8"/>
      <c r="D37" s="8"/>
      <c r="E37" s="8"/>
      <c r="F37" s="7"/>
      <c r="G37" s="7"/>
      <c r="H37" s="8"/>
      <c r="I37" s="8"/>
      <c r="J37" s="8"/>
      <c r="K37" s="8"/>
      <c r="L37" s="8"/>
      <c r="M37" s="8"/>
      <c r="N37" s="8"/>
      <c r="O37" s="8"/>
      <c r="P37" s="8"/>
      <c r="Q37" s="8"/>
      <c r="R37" s="8"/>
    </row>
    <row r="38" spans="2:18" x14ac:dyDescent="0.25">
      <c r="B38" s="8" t="s">
        <v>101</v>
      </c>
      <c r="C38" s="8"/>
      <c r="D38" s="8"/>
      <c r="E38" s="8"/>
      <c r="F38" s="7"/>
      <c r="G38" s="7"/>
      <c r="H38" s="8"/>
      <c r="I38" s="8"/>
      <c r="J38" s="8"/>
      <c r="K38" s="8"/>
      <c r="L38" s="8"/>
      <c r="M38" s="8"/>
      <c r="N38" s="8"/>
      <c r="O38" s="8"/>
      <c r="P38" s="8"/>
      <c r="Q38" s="8"/>
      <c r="R38" s="8"/>
    </row>
    <row r="39" spans="2:18" x14ac:dyDescent="0.25">
      <c r="B39" s="8" t="s">
        <v>100</v>
      </c>
      <c r="C39" s="8"/>
      <c r="D39" s="8"/>
      <c r="E39" s="8"/>
      <c r="F39" s="7"/>
      <c r="G39" s="7"/>
      <c r="H39" s="8"/>
      <c r="I39" s="8"/>
      <c r="J39" s="8"/>
      <c r="K39" s="8"/>
      <c r="L39" s="8"/>
      <c r="M39" s="8"/>
      <c r="N39" s="8"/>
      <c r="O39" s="8"/>
      <c r="P39" s="8"/>
      <c r="Q39" s="8"/>
      <c r="R39" s="8"/>
    </row>
    <row r="40" spans="2:18" x14ac:dyDescent="0.25">
      <c r="B40" s="8" t="s">
        <v>99</v>
      </c>
      <c r="C40" s="8"/>
      <c r="D40" s="8"/>
      <c r="E40" s="8"/>
      <c r="F40" s="7"/>
      <c r="G40" s="7"/>
      <c r="H40" s="8"/>
      <c r="I40" s="8"/>
      <c r="J40" s="8"/>
      <c r="K40" s="8"/>
      <c r="L40" s="8"/>
      <c r="M40" s="8"/>
      <c r="N40" s="8"/>
      <c r="O40" s="8"/>
      <c r="P40" s="8"/>
      <c r="Q40" s="8"/>
      <c r="R40" s="8"/>
    </row>
    <row r="41" spans="2:18" x14ac:dyDescent="0.25">
      <c r="B41" s="8" t="s">
        <v>98</v>
      </c>
      <c r="C41" s="8"/>
      <c r="D41" s="8"/>
      <c r="E41" s="8"/>
      <c r="F41" s="7"/>
      <c r="G41" s="7"/>
      <c r="H41" s="8"/>
      <c r="I41" s="8"/>
      <c r="J41" s="8"/>
      <c r="K41" s="8"/>
      <c r="L41" s="8"/>
      <c r="M41" s="8"/>
      <c r="N41" s="8"/>
      <c r="O41" s="8"/>
      <c r="P41" s="8"/>
      <c r="Q41" s="8"/>
      <c r="R41" s="8"/>
    </row>
    <row r="42" spans="2:18" x14ac:dyDescent="0.25">
      <c r="B42" s="8" t="s">
        <v>97</v>
      </c>
      <c r="C42" s="8"/>
      <c r="D42" s="8"/>
      <c r="E42" s="8"/>
      <c r="F42" s="7"/>
      <c r="G42" s="7"/>
      <c r="H42" s="8"/>
      <c r="I42" s="8"/>
      <c r="J42" s="8"/>
      <c r="K42" s="8"/>
      <c r="L42" s="8"/>
      <c r="M42" s="8"/>
      <c r="N42" s="8"/>
      <c r="O42" s="8"/>
      <c r="P42" s="8"/>
      <c r="Q42" s="8"/>
      <c r="R42" s="8"/>
    </row>
    <row r="43" spans="2:18" x14ac:dyDescent="0.25">
      <c r="B43" s="8" t="s">
        <v>96</v>
      </c>
      <c r="C43" s="8"/>
      <c r="D43" s="8"/>
      <c r="E43" s="8"/>
      <c r="F43" s="7"/>
      <c r="G43" s="7"/>
      <c r="H43" s="8"/>
      <c r="I43" s="8"/>
      <c r="J43" s="8"/>
      <c r="K43" s="8"/>
      <c r="L43" s="8"/>
      <c r="M43" s="8"/>
      <c r="N43" s="8"/>
      <c r="O43" s="8"/>
      <c r="P43" s="8"/>
      <c r="Q43" s="8"/>
      <c r="R43" s="8"/>
    </row>
    <row r="44" spans="2:18" x14ac:dyDescent="0.25">
      <c r="B44" s="8" t="s">
        <v>95</v>
      </c>
      <c r="C44" s="8"/>
      <c r="D44" s="8"/>
      <c r="E44" s="8"/>
      <c r="F44" s="7"/>
      <c r="G44" s="7"/>
      <c r="H44" s="8"/>
      <c r="I44" s="8"/>
      <c r="J44" s="8"/>
      <c r="K44" s="8"/>
      <c r="L44" s="8"/>
      <c r="M44" s="8"/>
      <c r="N44" s="8"/>
      <c r="O44" s="8"/>
      <c r="P44" s="8"/>
      <c r="Q44" s="8"/>
      <c r="R44" s="8"/>
    </row>
    <row r="45" spans="2:18" x14ac:dyDescent="0.25">
      <c r="B45" s="8" t="s">
        <v>94</v>
      </c>
      <c r="C45" s="8"/>
      <c r="D45" s="8"/>
      <c r="E45" s="8"/>
      <c r="F45" s="7"/>
      <c r="G45" s="7"/>
      <c r="H45" s="8"/>
      <c r="I45" s="8"/>
      <c r="J45" s="8"/>
      <c r="K45" s="8"/>
      <c r="L45" s="8"/>
      <c r="M45" s="8"/>
      <c r="N45" s="8"/>
      <c r="O45" s="8"/>
      <c r="P45" s="8"/>
      <c r="Q45" s="8"/>
      <c r="R45" s="8"/>
    </row>
  </sheetData>
  <mergeCells count="29">
    <mergeCell ref="S24:S30"/>
    <mergeCell ref="T24:T30"/>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4:R34"/>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3"/>
  <sheetViews>
    <sheetView view="pageBreakPreview" topLeftCell="A106" zoomScale="60" zoomScaleNormal="100" workbookViewId="0">
      <selection activeCell="A15" sqref="A15:AA15"/>
    </sheetView>
  </sheetViews>
  <sheetFormatPr defaultColWidth="10.7109375" defaultRowHeight="15.75" x14ac:dyDescent="0.25"/>
  <cols>
    <col min="1" max="1" width="10.7109375" style="6"/>
    <col min="2" max="3" width="37.5703125" style="48" customWidth="1"/>
    <col min="4" max="5" width="37.5703125" style="6" customWidth="1"/>
    <col min="6" max="6" width="8.7109375" style="6" customWidth="1"/>
    <col min="7" max="7" width="10.28515625" style="6" customWidth="1"/>
    <col min="8" max="8" width="8.7109375" style="6" customWidth="1"/>
    <col min="9" max="9" width="8.28515625" style="6" customWidth="1"/>
    <col min="10" max="10" width="20.140625" style="6" customWidth="1"/>
    <col min="11" max="11" width="11.140625" style="6" customWidth="1"/>
    <col min="12" max="12" width="8.85546875" style="6" customWidth="1"/>
    <col min="13" max="13" width="16.5703125" style="6" customWidth="1"/>
    <col min="14" max="14" width="13.855468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8.710937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65</v>
      </c>
    </row>
    <row r="2" spans="1:27" s="2" customFormat="1" ht="18.75" customHeight="1" x14ac:dyDescent="0.3">
      <c r="B2" s="102"/>
      <c r="C2" s="102"/>
      <c r="Q2" s="69"/>
      <c r="R2" s="69"/>
      <c r="AA2" s="1" t="s">
        <v>7</v>
      </c>
    </row>
    <row r="3" spans="1:27" s="2" customFormat="1" ht="18.75" customHeight="1" x14ac:dyDescent="0.3">
      <c r="B3" s="102"/>
      <c r="C3" s="102"/>
      <c r="Q3" s="69"/>
      <c r="R3" s="69"/>
      <c r="AA3" s="1" t="s">
        <v>64</v>
      </c>
    </row>
    <row r="4" spans="1:27" s="2" customFormat="1" x14ac:dyDescent="0.2">
      <c r="B4" s="102"/>
      <c r="C4" s="102"/>
      <c r="E4" s="70"/>
      <c r="Q4" s="69"/>
      <c r="R4" s="69"/>
    </row>
    <row r="5" spans="1:27" s="2" customFormat="1" x14ac:dyDescent="0.2">
      <c r="A5" s="409" t="str">
        <f>'3.1. паспорт Техсостояние ПС'!A5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2" customFormat="1" x14ac:dyDescent="0.2">
      <c r="A6" s="43"/>
      <c r="B6" s="49"/>
      <c r="C6" s="49"/>
      <c r="D6" s="43"/>
      <c r="E6" s="43"/>
      <c r="F6" s="43"/>
      <c r="G6" s="43"/>
      <c r="H6" s="43"/>
      <c r="I6" s="43"/>
      <c r="J6" s="43"/>
      <c r="K6" s="43"/>
      <c r="L6" s="43"/>
      <c r="M6" s="43"/>
      <c r="N6" s="43"/>
      <c r="O6" s="43"/>
      <c r="P6" s="43"/>
      <c r="Q6" s="43"/>
      <c r="R6" s="43"/>
      <c r="S6" s="43"/>
      <c r="T6" s="43"/>
    </row>
    <row r="7" spans="1:27" s="2" customFormat="1" ht="18.75" x14ac:dyDescent="0.2">
      <c r="B7" s="102"/>
      <c r="C7" s="102"/>
      <c r="E7" s="411" t="s">
        <v>6</v>
      </c>
      <c r="F7" s="411"/>
      <c r="G7" s="411"/>
      <c r="H7" s="411"/>
      <c r="I7" s="411"/>
      <c r="J7" s="411"/>
      <c r="K7" s="411"/>
      <c r="L7" s="411"/>
      <c r="M7" s="411"/>
      <c r="N7" s="411"/>
      <c r="O7" s="411"/>
      <c r="P7" s="411"/>
      <c r="Q7" s="411"/>
      <c r="R7" s="411"/>
      <c r="S7" s="411"/>
      <c r="T7" s="411"/>
      <c r="U7" s="411"/>
      <c r="V7" s="411"/>
      <c r="W7" s="411"/>
      <c r="X7" s="411"/>
      <c r="Y7" s="411"/>
    </row>
    <row r="8" spans="1:27" s="2" customFormat="1" ht="18.75" x14ac:dyDescent="0.2">
      <c r="B8" s="102"/>
      <c r="C8" s="102"/>
      <c r="E8" s="72"/>
      <c r="F8" s="72"/>
      <c r="G8" s="72"/>
      <c r="H8" s="72"/>
      <c r="I8" s="72"/>
      <c r="J8" s="72"/>
      <c r="K8" s="72"/>
      <c r="L8" s="72"/>
      <c r="M8" s="72"/>
      <c r="N8" s="72"/>
      <c r="O8" s="72"/>
      <c r="P8" s="72"/>
      <c r="Q8" s="72"/>
      <c r="R8" s="72"/>
      <c r="S8" s="71"/>
      <c r="T8" s="71"/>
      <c r="U8" s="71"/>
      <c r="V8" s="71"/>
      <c r="W8" s="71"/>
    </row>
    <row r="9" spans="1:27" s="2" customFormat="1" ht="18.75" customHeight="1" x14ac:dyDescent="0.2">
      <c r="B9" s="102"/>
      <c r="C9" s="102"/>
      <c r="E9" s="414" t="str">
        <f>'3.1. паспорт Техсостояние ПС'!A9</f>
        <v>Акционерное общество "Россети Янтарь"</v>
      </c>
      <c r="F9" s="414"/>
      <c r="G9" s="414"/>
      <c r="H9" s="414"/>
      <c r="I9" s="414"/>
      <c r="J9" s="414"/>
      <c r="K9" s="414"/>
      <c r="L9" s="414"/>
      <c r="M9" s="414"/>
      <c r="N9" s="414"/>
      <c r="O9" s="414"/>
      <c r="P9" s="414"/>
      <c r="Q9" s="414"/>
      <c r="R9" s="414"/>
      <c r="S9" s="414"/>
      <c r="T9" s="414"/>
      <c r="U9" s="414"/>
      <c r="V9" s="414"/>
      <c r="W9" s="414"/>
      <c r="X9" s="414"/>
      <c r="Y9" s="414"/>
    </row>
    <row r="10" spans="1:27" s="2" customFormat="1" ht="18.75" customHeight="1" x14ac:dyDescent="0.2">
      <c r="B10" s="102"/>
      <c r="C10" s="102"/>
      <c r="E10" s="412" t="s">
        <v>5</v>
      </c>
      <c r="F10" s="412"/>
      <c r="G10" s="412"/>
      <c r="H10" s="412"/>
      <c r="I10" s="412"/>
      <c r="J10" s="412"/>
      <c r="K10" s="412"/>
      <c r="L10" s="412"/>
      <c r="M10" s="412"/>
      <c r="N10" s="412"/>
      <c r="O10" s="412"/>
      <c r="P10" s="412"/>
      <c r="Q10" s="412"/>
      <c r="R10" s="412"/>
      <c r="S10" s="412"/>
      <c r="T10" s="412"/>
      <c r="U10" s="412"/>
      <c r="V10" s="412"/>
      <c r="W10" s="412"/>
      <c r="X10" s="412"/>
      <c r="Y10" s="412"/>
    </row>
    <row r="11" spans="1:27" s="2" customFormat="1" ht="18.75" x14ac:dyDescent="0.2">
      <c r="B11" s="102"/>
      <c r="C11" s="102"/>
      <c r="E11" s="72"/>
      <c r="F11" s="72"/>
      <c r="G11" s="72"/>
      <c r="H11" s="72"/>
      <c r="I11" s="72"/>
      <c r="J11" s="72"/>
      <c r="K11" s="72"/>
      <c r="L11" s="72"/>
      <c r="M11" s="72"/>
      <c r="N11" s="72"/>
      <c r="O11" s="72"/>
      <c r="P11" s="72"/>
      <c r="Q11" s="72"/>
      <c r="R11" s="72"/>
      <c r="S11" s="71"/>
      <c r="T11" s="71"/>
      <c r="U11" s="71"/>
      <c r="V11" s="71"/>
      <c r="W11" s="71"/>
    </row>
    <row r="12" spans="1:27" s="2" customFormat="1" ht="18.75" customHeight="1" x14ac:dyDescent="0.2">
      <c r="B12" s="102"/>
      <c r="C12" s="102"/>
      <c r="E12" s="414" t="str">
        <f>'1. паспорт местоположение'!A12</f>
        <v>L_19-1035</v>
      </c>
      <c r="F12" s="414"/>
      <c r="G12" s="414"/>
      <c r="H12" s="414"/>
      <c r="I12" s="414"/>
      <c r="J12" s="414"/>
      <c r="K12" s="414"/>
      <c r="L12" s="414"/>
      <c r="M12" s="414"/>
      <c r="N12" s="414"/>
      <c r="O12" s="414"/>
      <c r="P12" s="414"/>
      <c r="Q12" s="414"/>
      <c r="R12" s="414"/>
      <c r="S12" s="414"/>
      <c r="T12" s="414"/>
      <c r="U12" s="414"/>
      <c r="V12" s="414"/>
      <c r="W12" s="414"/>
      <c r="X12" s="414"/>
      <c r="Y12" s="414"/>
    </row>
    <row r="13" spans="1:27" s="2" customFormat="1" ht="18.75" customHeight="1" x14ac:dyDescent="0.2">
      <c r="B13" s="102"/>
      <c r="C13" s="102"/>
      <c r="E13" s="412" t="s">
        <v>4</v>
      </c>
      <c r="F13" s="412"/>
      <c r="G13" s="412"/>
      <c r="H13" s="412"/>
      <c r="I13" s="412"/>
      <c r="J13" s="412"/>
      <c r="K13" s="412"/>
      <c r="L13" s="412"/>
      <c r="M13" s="412"/>
      <c r="N13" s="412"/>
      <c r="O13" s="412"/>
      <c r="P13" s="412"/>
      <c r="Q13" s="412"/>
      <c r="R13" s="412"/>
      <c r="S13" s="412"/>
      <c r="T13" s="412"/>
      <c r="U13" s="412"/>
      <c r="V13" s="412"/>
      <c r="W13" s="412"/>
      <c r="X13" s="412"/>
      <c r="Y13" s="412"/>
    </row>
    <row r="14" spans="1:27" s="76" customFormat="1" ht="15.75" customHeight="1" x14ac:dyDescent="0.2">
      <c r="B14" s="103"/>
      <c r="C14" s="103"/>
      <c r="E14" s="75"/>
      <c r="F14" s="75"/>
      <c r="G14" s="75"/>
      <c r="H14" s="75"/>
      <c r="I14" s="75"/>
      <c r="J14" s="75"/>
      <c r="K14" s="75"/>
      <c r="L14" s="75"/>
      <c r="M14" s="75"/>
      <c r="N14" s="75"/>
      <c r="O14" s="75"/>
      <c r="P14" s="75"/>
      <c r="Q14" s="75"/>
      <c r="R14" s="75"/>
      <c r="S14" s="75"/>
      <c r="T14" s="75"/>
      <c r="U14" s="75"/>
      <c r="V14" s="75"/>
      <c r="W14" s="75"/>
    </row>
    <row r="15" spans="1:27" s="77" customFormat="1" ht="106.5" customHeight="1" x14ac:dyDescent="0.2">
      <c r="A15" s="448" t="str">
        <f>'3.1. паспорт Техсостояние ПС'!A15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row>
    <row r="16" spans="1:27" s="77" customFormat="1" ht="15" customHeight="1" x14ac:dyDescent="0.2">
      <c r="B16" s="104"/>
      <c r="C16" s="104"/>
      <c r="E16" s="412" t="s">
        <v>3</v>
      </c>
      <c r="F16" s="412"/>
      <c r="G16" s="412"/>
      <c r="H16" s="412"/>
      <c r="I16" s="412"/>
      <c r="J16" s="412"/>
      <c r="K16" s="412"/>
      <c r="L16" s="412"/>
      <c r="M16" s="412"/>
      <c r="N16" s="412"/>
      <c r="O16" s="412"/>
      <c r="P16" s="412"/>
      <c r="Q16" s="412"/>
      <c r="R16" s="412"/>
      <c r="S16" s="412"/>
      <c r="T16" s="412"/>
      <c r="U16" s="412"/>
      <c r="V16" s="412"/>
      <c r="W16" s="412"/>
      <c r="X16" s="412"/>
      <c r="Y16" s="412"/>
    </row>
    <row r="17" spans="1:27" s="77" customFormat="1" ht="15" customHeight="1" x14ac:dyDescent="0.2">
      <c r="B17" s="104"/>
      <c r="C17" s="104"/>
      <c r="E17" s="78"/>
      <c r="F17" s="78"/>
      <c r="G17" s="78"/>
      <c r="H17" s="78"/>
      <c r="I17" s="78"/>
      <c r="J17" s="78"/>
      <c r="K17" s="78"/>
      <c r="L17" s="78"/>
      <c r="M17" s="78"/>
      <c r="N17" s="78"/>
      <c r="O17" s="78"/>
      <c r="P17" s="78"/>
      <c r="Q17" s="78"/>
      <c r="R17" s="78"/>
      <c r="S17" s="78"/>
      <c r="T17" s="78"/>
      <c r="U17" s="78"/>
      <c r="V17" s="78"/>
      <c r="W17" s="78"/>
    </row>
    <row r="18" spans="1:27" s="77" customFormat="1" ht="15" customHeight="1" x14ac:dyDescent="0.2">
      <c r="B18" s="104"/>
      <c r="C18" s="104"/>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344</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2" customFormat="1" ht="21" customHeight="1" x14ac:dyDescent="0.25">
      <c r="B20" s="50"/>
      <c r="C20" s="50"/>
    </row>
    <row r="21" spans="1:27" x14ac:dyDescent="0.25">
      <c r="A21" s="461" t="s">
        <v>2</v>
      </c>
      <c r="B21" s="457" t="s">
        <v>351</v>
      </c>
      <c r="C21" s="458"/>
      <c r="D21" s="457" t="s">
        <v>353</v>
      </c>
      <c r="E21" s="458"/>
      <c r="F21" s="445" t="s">
        <v>87</v>
      </c>
      <c r="G21" s="447"/>
      <c r="H21" s="447"/>
      <c r="I21" s="446"/>
      <c r="J21" s="461" t="s">
        <v>354</v>
      </c>
      <c r="K21" s="457" t="s">
        <v>355</v>
      </c>
      <c r="L21" s="458"/>
      <c r="M21" s="457" t="s">
        <v>356</v>
      </c>
      <c r="N21" s="458"/>
      <c r="O21" s="457" t="s">
        <v>343</v>
      </c>
      <c r="P21" s="458"/>
      <c r="Q21" s="457" t="s">
        <v>120</v>
      </c>
      <c r="R21" s="458"/>
      <c r="S21" s="461" t="s">
        <v>119</v>
      </c>
      <c r="T21" s="461" t="s">
        <v>357</v>
      </c>
      <c r="U21" s="461" t="s">
        <v>352</v>
      </c>
      <c r="V21" s="457" t="s">
        <v>118</v>
      </c>
      <c r="W21" s="458"/>
      <c r="X21" s="445" t="s">
        <v>110</v>
      </c>
      <c r="Y21" s="447"/>
      <c r="Z21" s="445" t="s">
        <v>109</v>
      </c>
      <c r="AA21" s="447"/>
    </row>
    <row r="22" spans="1:27" ht="141.75" x14ac:dyDescent="0.25">
      <c r="A22" s="462"/>
      <c r="B22" s="459"/>
      <c r="C22" s="460"/>
      <c r="D22" s="459"/>
      <c r="E22" s="460"/>
      <c r="F22" s="445" t="s">
        <v>117</v>
      </c>
      <c r="G22" s="446"/>
      <c r="H22" s="445" t="s">
        <v>116</v>
      </c>
      <c r="I22" s="446"/>
      <c r="J22" s="463"/>
      <c r="K22" s="459"/>
      <c r="L22" s="460"/>
      <c r="M22" s="459"/>
      <c r="N22" s="460"/>
      <c r="O22" s="459"/>
      <c r="P22" s="460"/>
      <c r="Q22" s="459"/>
      <c r="R22" s="460"/>
      <c r="S22" s="463"/>
      <c r="T22" s="463"/>
      <c r="U22" s="463"/>
      <c r="V22" s="459"/>
      <c r="W22" s="460"/>
      <c r="X22" s="25" t="s">
        <v>108</v>
      </c>
      <c r="Y22" s="25" t="s">
        <v>341</v>
      </c>
      <c r="Z22" s="25" t="s">
        <v>107</v>
      </c>
      <c r="AA22" s="25" t="s">
        <v>106</v>
      </c>
    </row>
    <row r="23" spans="1:27" x14ac:dyDescent="0.25">
      <c r="A23" s="463"/>
      <c r="B23" s="66" t="s">
        <v>104</v>
      </c>
      <c r="C23" s="66" t="s">
        <v>105</v>
      </c>
      <c r="D23" s="66" t="s">
        <v>104</v>
      </c>
      <c r="E23" s="66" t="s">
        <v>105</v>
      </c>
      <c r="F23" s="66" t="s">
        <v>104</v>
      </c>
      <c r="G23" s="66" t="s">
        <v>105</v>
      </c>
      <c r="H23" s="66" t="s">
        <v>104</v>
      </c>
      <c r="I23" s="66" t="s">
        <v>105</v>
      </c>
      <c r="J23" s="66" t="s">
        <v>104</v>
      </c>
      <c r="K23" s="66" t="s">
        <v>104</v>
      </c>
      <c r="L23" s="66" t="s">
        <v>105</v>
      </c>
      <c r="M23" s="66" t="s">
        <v>104</v>
      </c>
      <c r="N23" s="66" t="s">
        <v>105</v>
      </c>
      <c r="O23" s="66" t="s">
        <v>104</v>
      </c>
      <c r="P23" s="66" t="s">
        <v>105</v>
      </c>
      <c r="Q23" s="66" t="s">
        <v>104</v>
      </c>
      <c r="R23" s="66" t="s">
        <v>105</v>
      </c>
      <c r="S23" s="66" t="s">
        <v>104</v>
      </c>
      <c r="T23" s="66" t="s">
        <v>104</v>
      </c>
      <c r="U23" s="66" t="s">
        <v>104</v>
      </c>
      <c r="V23" s="66" t="s">
        <v>104</v>
      </c>
      <c r="W23" s="66" t="s">
        <v>105</v>
      </c>
      <c r="X23" s="66" t="s">
        <v>104</v>
      </c>
      <c r="Y23" s="66" t="s">
        <v>104</v>
      </c>
      <c r="Z23" s="25" t="s">
        <v>104</v>
      </c>
      <c r="AA23" s="25" t="s">
        <v>104</v>
      </c>
    </row>
    <row r="24" spans="1:27" x14ac:dyDescent="0.25">
      <c r="A24" s="26">
        <v>1</v>
      </c>
      <c r="B24" s="51">
        <v>2</v>
      </c>
      <c r="C24" s="51">
        <v>3</v>
      </c>
      <c r="D24" s="26">
        <v>4</v>
      </c>
      <c r="E24" s="26">
        <v>5</v>
      </c>
      <c r="F24" s="26">
        <v>6</v>
      </c>
      <c r="G24" s="26">
        <v>7</v>
      </c>
      <c r="H24" s="26">
        <v>8</v>
      </c>
      <c r="I24" s="26">
        <v>9</v>
      </c>
      <c r="J24" s="26">
        <v>10</v>
      </c>
      <c r="K24" s="26">
        <v>11</v>
      </c>
      <c r="L24" s="26">
        <v>12</v>
      </c>
      <c r="M24" s="26">
        <v>13</v>
      </c>
      <c r="N24" s="26">
        <v>14</v>
      </c>
      <c r="O24" s="26">
        <v>15</v>
      </c>
      <c r="P24" s="26">
        <v>16</v>
      </c>
      <c r="Q24" s="26">
        <v>19</v>
      </c>
      <c r="R24" s="26">
        <v>20</v>
      </c>
      <c r="S24" s="26">
        <v>21</v>
      </c>
      <c r="T24" s="26">
        <v>22</v>
      </c>
      <c r="U24" s="26">
        <v>23</v>
      </c>
      <c r="V24" s="26">
        <v>24</v>
      </c>
      <c r="W24" s="26">
        <v>25</v>
      </c>
      <c r="X24" s="26">
        <v>26</v>
      </c>
      <c r="Y24" s="26">
        <v>27</v>
      </c>
      <c r="Z24" s="26">
        <v>28</v>
      </c>
      <c r="AA24" s="26">
        <v>29</v>
      </c>
    </row>
    <row r="25" spans="1:27" s="340" customFormat="1" ht="30" x14ac:dyDescent="0.25">
      <c r="A25" s="449">
        <v>1</v>
      </c>
      <c r="B25" s="452" t="s">
        <v>541</v>
      </c>
      <c r="C25" s="338" t="s">
        <v>719</v>
      </c>
      <c r="D25" s="452" t="s">
        <v>541</v>
      </c>
      <c r="E25" s="338" t="s">
        <v>542</v>
      </c>
      <c r="F25" s="449">
        <v>0.23</v>
      </c>
      <c r="G25" s="339">
        <v>0.4</v>
      </c>
      <c r="H25" s="449">
        <v>0.23</v>
      </c>
      <c r="I25" s="339">
        <v>0.4</v>
      </c>
      <c r="J25" s="449" t="s">
        <v>444</v>
      </c>
      <c r="K25" s="449" t="s">
        <v>260</v>
      </c>
      <c r="L25" s="339" t="s">
        <v>260</v>
      </c>
      <c r="M25" s="449" t="s">
        <v>446</v>
      </c>
      <c r="N25" s="339" t="s">
        <v>543</v>
      </c>
      <c r="O25" s="449" t="s">
        <v>462</v>
      </c>
      <c r="P25" s="339" t="s">
        <v>462</v>
      </c>
      <c r="Q25" s="449">
        <v>0.52500000000000002</v>
      </c>
      <c r="R25" s="339">
        <f>0.184+0.036+0.05+0.073</f>
        <v>0.34300000000000003</v>
      </c>
      <c r="S25" s="449" t="s">
        <v>260</v>
      </c>
      <c r="T25" s="449" t="s">
        <v>260</v>
      </c>
      <c r="U25" s="449" t="s">
        <v>260</v>
      </c>
      <c r="V25" s="449" t="s">
        <v>463</v>
      </c>
      <c r="W25" s="339" t="s">
        <v>463</v>
      </c>
      <c r="X25" s="449" t="s">
        <v>260</v>
      </c>
      <c r="Y25" s="449" t="s">
        <v>260</v>
      </c>
      <c r="Z25" s="464" t="s">
        <v>683</v>
      </c>
      <c r="AA25" s="464" t="s">
        <v>684</v>
      </c>
    </row>
    <row r="26" spans="1:27" s="340" customFormat="1" x14ac:dyDescent="0.25">
      <c r="A26" s="451"/>
      <c r="B26" s="453"/>
      <c r="C26" s="338" t="s">
        <v>720</v>
      </c>
      <c r="D26" s="453"/>
      <c r="E26" s="338" t="s">
        <v>544</v>
      </c>
      <c r="F26" s="451"/>
      <c r="G26" s="339">
        <v>0.4</v>
      </c>
      <c r="H26" s="451"/>
      <c r="I26" s="339">
        <v>0.4</v>
      </c>
      <c r="J26" s="451"/>
      <c r="K26" s="451"/>
      <c r="L26" s="339" t="s">
        <v>260</v>
      </c>
      <c r="M26" s="451"/>
      <c r="N26" s="339" t="s">
        <v>543</v>
      </c>
      <c r="O26" s="451"/>
      <c r="P26" s="339" t="s">
        <v>462</v>
      </c>
      <c r="Q26" s="451"/>
      <c r="R26" s="339">
        <f>0.12+0.018+0.041+0.056</f>
        <v>0.23499999999999999</v>
      </c>
      <c r="S26" s="451"/>
      <c r="T26" s="451"/>
      <c r="U26" s="451"/>
      <c r="V26" s="451"/>
      <c r="W26" s="339" t="s">
        <v>463</v>
      </c>
      <c r="X26" s="451"/>
      <c r="Y26" s="451"/>
      <c r="Z26" s="465"/>
      <c r="AA26" s="465"/>
    </row>
    <row r="27" spans="1:27" s="340" customFormat="1" x14ac:dyDescent="0.25">
      <c r="A27" s="450"/>
      <c r="B27" s="454"/>
      <c r="C27" s="338" t="s">
        <v>721</v>
      </c>
      <c r="D27" s="454"/>
      <c r="E27" s="338" t="s">
        <v>545</v>
      </c>
      <c r="F27" s="450"/>
      <c r="G27" s="339">
        <v>0.4</v>
      </c>
      <c r="H27" s="450"/>
      <c r="I27" s="339">
        <v>0.4</v>
      </c>
      <c r="J27" s="450"/>
      <c r="K27" s="450"/>
      <c r="L27" s="339" t="s">
        <v>260</v>
      </c>
      <c r="M27" s="450"/>
      <c r="N27" s="339" t="s">
        <v>461</v>
      </c>
      <c r="O27" s="450"/>
      <c r="P27" s="339" t="s">
        <v>462</v>
      </c>
      <c r="Q27" s="450"/>
      <c r="R27" s="339">
        <v>9.1999999999999998E-2</v>
      </c>
      <c r="S27" s="450"/>
      <c r="T27" s="450"/>
      <c r="U27" s="450"/>
      <c r="V27" s="450"/>
      <c r="W27" s="339" t="s">
        <v>463</v>
      </c>
      <c r="X27" s="450"/>
      <c r="Y27" s="450"/>
      <c r="Z27" s="465"/>
      <c r="AA27" s="465"/>
    </row>
    <row r="28" spans="1:27" s="342" customFormat="1" ht="30" x14ac:dyDescent="0.25">
      <c r="A28" s="449">
        <v>2</v>
      </c>
      <c r="B28" s="452" t="s">
        <v>546</v>
      </c>
      <c r="C28" s="338" t="s">
        <v>722</v>
      </c>
      <c r="D28" s="452" t="s">
        <v>546</v>
      </c>
      <c r="E28" s="338" t="s">
        <v>547</v>
      </c>
      <c r="F28" s="449">
        <v>0.23</v>
      </c>
      <c r="G28" s="339">
        <v>0.4</v>
      </c>
      <c r="H28" s="449">
        <v>0.23</v>
      </c>
      <c r="I28" s="339">
        <v>0.4</v>
      </c>
      <c r="J28" s="449" t="s">
        <v>444</v>
      </c>
      <c r="K28" s="449" t="s">
        <v>260</v>
      </c>
      <c r="L28" s="339" t="s">
        <v>260</v>
      </c>
      <c r="M28" s="449" t="s">
        <v>458</v>
      </c>
      <c r="N28" s="341" t="s">
        <v>551</v>
      </c>
      <c r="O28" s="449" t="s">
        <v>462</v>
      </c>
      <c r="P28" s="339" t="s">
        <v>462</v>
      </c>
      <c r="Q28" s="449">
        <v>0.28999999999999998</v>
      </c>
      <c r="R28" s="339">
        <f>0.014+0.132+0.077+0.024+0.06</f>
        <v>0.30700000000000005</v>
      </c>
      <c r="S28" s="449" t="s">
        <v>260</v>
      </c>
      <c r="T28" s="449" t="s">
        <v>260</v>
      </c>
      <c r="U28" s="449" t="s">
        <v>260</v>
      </c>
      <c r="V28" s="449" t="s">
        <v>463</v>
      </c>
      <c r="W28" s="339" t="s">
        <v>463</v>
      </c>
      <c r="X28" s="449" t="s">
        <v>260</v>
      </c>
      <c r="Y28" s="449" t="s">
        <v>260</v>
      </c>
      <c r="Z28" s="465"/>
      <c r="AA28" s="465"/>
    </row>
    <row r="29" spans="1:27" s="342" customFormat="1" ht="30" x14ac:dyDescent="0.25">
      <c r="A29" s="451"/>
      <c r="B29" s="453"/>
      <c r="C29" s="338" t="s">
        <v>723</v>
      </c>
      <c r="D29" s="454"/>
      <c r="E29" s="338" t="s">
        <v>548</v>
      </c>
      <c r="F29" s="450"/>
      <c r="G29" s="339">
        <v>0.4</v>
      </c>
      <c r="H29" s="450"/>
      <c r="I29" s="339">
        <v>0.4</v>
      </c>
      <c r="J29" s="450"/>
      <c r="K29" s="450"/>
      <c r="L29" s="339" t="s">
        <v>260</v>
      </c>
      <c r="M29" s="450"/>
      <c r="N29" s="341" t="s">
        <v>552</v>
      </c>
      <c r="O29" s="450"/>
      <c r="P29" s="339" t="s">
        <v>462</v>
      </c>
      <c r="Q29" s="450"/>
      <c r="R29" s="339">
        <f>0.061+0.055+0.048+0.032+0.027</f>
        <v>0.22299999999999998</v>
      </c>
      <c r="S29" s="450"/>
      <c r="T29" s="450"/>
      <c r="U29" s="450"/>
      <c r="V29" s="450"/>
      <c r="W29" s="339" t="s">
        <v>463</v>
      </c>
      <c r="X29" s="450"/>
      <c r="Y29" s="450"/>
      <c r="Z29" s="465"/>
      <c r="AA29" s="465"/>
    </row>
    <row r="30" spans="1:27" s="342" customFormat="1" ht="30" x14ac:dyDescent="0.25">
      <c r="A30" s="450"/>
      <c r="B30" s="454"/>
      <c r="C30" s="338" t="s">
        <v>724</v>
      </c>
      <c r="D30" s="338" t="s">
        <v>550</v>
      </c>
      <c r="E30" s="338" t="s">
        <v>549</v>
      </c>
      <c r="F30" s="339">
        <v>0.23</v>
      </c>
      <c r="G30" s="339">
        <v>0.4</v>
      </c>
      <c r="H30" s="339">
        <v>0.23</v>
      </c>
      <c r="I30" s="339">
        <v>0.4</v>
      </c>
      <c r="J30" s="339" t="s">
        <v>444</v>
      </c>
      <c r="K30" s="339" t="s">
        <v>260</v>
      </c>
      <c r="L30" s="339" t="s">
        <v>260</v>
      </c>
      <c r="M30" s="339" t="s">
        <v>456</v>
      </c>
      <c r="N30" s="341" t="s">
        <v>551</v>
      </c>
      <c r="O30" s="339" t="s">
        <v>462</v>
      </c>
      <c r="P30" s="339" t="s">
        <v>462</v>
      </c>
      <c r="Q30" s="339">
        <v>0.42</v>
      </c>
      <c r="R30" s="339">
        <f>0.251+0.067+0.028+0.038+0.036+0.058</f>
        <v>0.47799999999999998</v>
      </c>
      <c r="S30" s="339" t="s">
        <v>260</v>
      </c>
      <c r="T30" s="339" t="s">
        <v>260</v>
      </c>
      <c r="U30" s="339" t="s">
        <v>260</v>
      </c>
      <c r="V30" s="339" t="s">
        <v>463</v>
      </c>
      <c r="W30" s="339" t="s">
        <v>463</v>
      </c>
      <c r="X30" s="339" t="s">
        <v>260</v>
      </c>
      <c r="Y30" s="339" t="s">
        <v>260</v>
      </c>
      <c r="Z30" s="465"/>
      <c r="AA30" s="465"/>
    </row>
    <row r="31" spans="1:27" s="342" customFormat="1" ht="30" x14ac:dyDescent="0.25">
      <c r="A31" s="449">
        <v>3</v>
      </c>
      <c r="B31" s="343" t="s">
        <v>411</v>
      </c>
      <c r="C31" s="343" t="s">
        <v>725</v>
      </c>
      <c r="D31" s="343" t="s">
        <v>411</v>
      </c>
      <c r="E31" s="343" t="str">
        <f>C31</f>
        <v>СП-239 - РЩ - РЩ-1 - ул. Ермака, 2</v>
      </c>
      <c r="F31" s="339">
        <v>0.23</v>
      </c>
      <c r="G31" s="339">
        <v>0.4</v>
      </c>
      <c r="H31" s="339">
        <v>0.23</v>
      </c>
      <c r="I31" s="339">
        <v>0.4</v>
      </c>
      <c r="J31" s="339" t="s">
        <v>444</v>
      </c>
      <c r="K31" s="339" t="s">
        <v>260</v>
      </c>
      <c r="L31" s="339" t="s">
        <v>260</v>
      </c>
      <c r="M31" s="339" t="s">
        <v>446</v>
      </c>
      <c r="N31" s="341" t="s">
        <v>553</v>
      </c>
      <c r="O31" s="339" t="s">
        <v>462</v>
      </c>
      <c r="P31" s="339" t="s">
        <v>462</v>
      </c>
      <c r="Q31" s="339">
        <v>9.5000000000000001E-2</v>
      </c>
      <c r="R31" s="339">
        <f>0.007+0.145+0.039</f>
        <v>0.191</v>
      </c>
      <c r="S31" s="339" t="s">
        <v>260</v>
      </c>
      <c r="T31" s="339" t="s">
        <v>260</v>
      </c>
      <c r="U31" s="339" t="s">
        <v>260</v>
      </c>
      <c r="V31" s="339" t="s">
        <v>463</v>
      </c>
      <c r="W31" s="339" t="s">
        <v>463</v>
      </c>
      <c r="X31" s="339" t="s">
        <v>260</v>
      </c>
      <c r="Y31" s="339" t="s">
        <v>260</v>
      </c>
      <c r="Z31" s="465"/>
      <c r="AA31" s="465"/>
    </row>
    <row r="32" spans="1:27" s="342" customFormat="1" x14ac:dyDescent="0.25">
      <c r="A32" s="451"/>
      <c r="B32" s="338" t="s">
        <v>554</v>
      </c>
      <c r="C32" s="338" t="s">
        <v>555</v>
      </c>
      <c r="D32" s="338" t="s">
        <v>554</v>
      </c>
      <c r="E32" s="343" t="str">
        <f t="shared" ref="E32:E37" si="0">C32</f>
        <v>РЩ - ул. Комсомольская 3, 6</v>
      </c>
      <c r="F32" s="339">
        <v>0.23</v>
      </c>
      <c r="G32" s="339">
        <v>0.4</v>
      </c>
      <c r="H32" s="339">
        <v>0.23</v>
      </c>
      <c r="I32" s="339">
        <v>0.4</v>
      </c>
      <c r="J32" s="339" t="s">
        <v>444</v>
      </c>
      <c r="K32" s="339" t="s">
        <v>260</v>
      </c>
      <c r="L32" s="339" t="s">
        <v>260</v>
      </c>
      <c r="M32" s="339" t="s">
        <v>447</v>
      </c>
      <c r="N32" s="339" t="s">
        <v>556</v>
      </c>
      <c r="O32" s="339" t="s">
        <v>462</v>
      </c>
      <c r="P32" s="339" t="s">
        <v>462</v>
      </c>
      <c r="Q32" s="339">
        <f>0.29-0.128</f>
        <v>0.16199999999999998</v>
      </c>
      <c r="R32" s="339">
        <f>0.078+0.145</f>
        <v>0.22299999999999998</v>
      </c>
      <c r="S32" s="339" t="s">
        <v>260</v>
      </c>
      <c r="T32" s="339" t="s">
        <v>260</v>
      </c>
      <c r="U32" s="339" t="s">
        <v>260</v>
      </c>
      <c r="V32" s="339" t="s">
        <v>463</v>
      </c>
      <c r="W32" s="339" t="s">
        <v>463</v>
      </c>
      <c r="X32" s="339" t="s">
        <v>260</v>
      </c>
      <c r="Y32" s="339" t="s">
        <v>260</v>
      </c>
      <c r="Z32" s="465"/>
      <c r="AA32" s="465"/>
    </row>
    <row r="33" spans="1:27" s="342" customFormat="1" ht="30" x14ac:dyDescent="0.25">
      <c r="A33" s="451"/>
      <c r="B33" s="338" t="s">
        <v>442</v>
      </c>
      <c r="C33" s="338" t="s">
        <v>558</v>
      </c>
      <c r="D33" s="338" t="s">
        <v>442</v>
      </c>
      <c r="E33" s="343" t="str">
        <f t="shared" si="0"/>
        <v xml:space="preserve">РЩ - ул. Комсомольская 2а, 2/пр. Мира 74-76 </v>
      </c>
      <c r="F33" s="339">
        <v>0.23</v>
      </c>
      <c r="G33" s="339">
        <v>0.4</v>
      </c>
      <c r="H33" s="339">
        <v>0.23</v>
      </c>
      <c r="I33" s="339">
        <v>0.4</v>
      </c>
      <c r="J33" s="339" t="s">
        <v>444</v>
      </c>
      <c r="K33" s="339" t="s">
        <v>260</v>
      </c>
      <c r="L33" s="339" t="s">
        <v>260</v>
      </c>
      <c r="M33" s="339" t="s">
        <v>448</v>
      </c>
      <c r="N33" s="339" t="s">
        <v>557</v>
      </c>
      <c r="O33" s="339" t="s">
        <v>462</v>
      </c>
      <c r="P33" s="339" t="s">
        <v>462</v>
      </c>
      <c r="Q33" s="339">
        <v>0.128</v>
      </c>
      <c r="R33" s="339">
        <f>0.073+0.055</f>
        <v>0.128</v>
      </c>
      <c r="S33" s="339" t="s">
        <v>260</v>
      </c>
      <c r="T33" s="339" t="s">
        <v>260</v>
      </c>
      <c r="U33" s="339" t="s">
        <v>260</v>
      </c>
      <c r="V33" s="339" t="s">
        <v>463</v>
      </c>
      <c r="W33" s="339" t="s">
        <v>463</v>
      </c>
      <c r="X33" s="339" t="s">
        <v>260</v>
      </c>
      <c r="Y33" s="339" t="s">
        <v>260</v>
      </c>
      <c r="Z33" s="465"/>
      <c r="AA33" s="465"/>
    </row>
    <row r="34" spans="1:27" s="342" customFormat="1" ht="60" x14ac:dyDescent="0.25">
      <c r="A34" s="450"/>
      <c r="B34" s="338" t="s">
        <v>559</v>
      </c>
      <c r="C34" s="338" t="s">
        <v>726</v>
      </c>
      <c r="D34" s="338" t="s">
        <v>559</v>
      </c>
      <c r="E34" s="343" t="str">
        <f t="shared" si="0"/>
        <v>РЩ - СП-1 - пр. Мира 78, 80, 80а, соед. муфта</v>
      </c>
      <c r="F34" s="339">
        <v>0.23</v>
      </c>
      <c r="G34" s="339">
        <v>0.4</v>
      </c>
      <c r="H34" s="339">
        <v>0.23</v>
      </c>
      <c r="I34" s="339">
        <v>0.4</v>
      </c>
      <c r="J34" s="339" t="s">
        <v>444</v>
      </c>
      <c r="K34" s="339" t="s">
        <v>260</v>
      </c>
      <c r="L34" s="339" t="s">
        <v>260</v>
      </c>
      <c r="M34" s="339" t="s">
        <v>451</v>
      </c>
      <c r="N34" s="341" t="s">
        <v>560</v>
      </c>
      <c r="O34" s="339" t="s">
        <v>462</v>
      </c>
      <c r="P34" s="339" t="s">
        <v>462</v>
      </c>
      <c r="Q34" s="339">
        <v>0.433</v>
      </c>
      <c r="R34" s="339">
        <f>0.137+0.064+0.024+0.056+0.077</f>
        <v>0.35800000000000004</v>
      </c>
      <c r="S34" s="339" t="s">
        <v>260</v>
      </c>
      <c r="T34" s="339" t="s">
        <v>260</v>
      </c>
      <c r="U34" s="339" t="s">
        <v>260</v>
      </c>
      <c r="V34" s="339" t="s">
        <v>463</v>
      </c>
      <c r="W34" s="339" t="s">
        <v>463</v>
      </c>
      <c r="X34" s="339" t="s">
        <v>260</v>
      </c>
      <c r="Y34" s="339" t="s">
        <v>260</v>
      </c>
      <c r="Z34" s="465"/>
      <c r="AA34" s="465"/>
    </row>
    <row r="35" spans="1:27" s="340" customFormat="1" x14ac:dyDescent="0.25">
      <c r="A35" s="339">
        <v>4</v>
      </c>
      <c r="B35" s="338" t="s">
        <v>554</v>
      </c>
      <c r="C35" s="338" t="s">
        <v>561</v>
      </c>
      <c r="D35" s="344" t="str">
        <f t="shared" ref="D35" si="1">B35</f>
        <v>СП-239 -Комсомольская 3, 6, 14-14а</v>
      </c>
      <c r="E35" s="344" t="str">
        <f t="shared" si="0"/>
        <v>СП-357 - Комсомольская 14, 14а</v>
      </c>
      <c r="F35" s="339">
        <v>0.23</v>
      </c>
      <c r="G35" s="339">
        <v>0.4</v>
      </c>
      <c r="H35" s="339">
        <v>0.23</v>
      </c>
      <c r="I35" s="339">
        <v>0.4</v>
      </c>
      <c r="J35" s="339" t="s">
        <v>444</v>
      </c>
      <c r="K35" s="339" t="s">
        <v>260</v>
      </c>
      <c r="L35" s="339" t="s">
        <v>260</v>
      </c>
      <c r="M35" s="339" t="s">
        <v>447</v>
      </c>
      <c r="N35" s="339" t="s">
        <v>562</v>
      </c>
      <c r="O35" s="339" t="s">
        <v>462</v>
      </c>
      <c r="P35" s="339" t="s">
        <v>462</v>
      </c>
      <c r="Q35" s="339">
        <v>0.28999999999999998</v>
      </c>
      <c r="R35" s="339">
        <f>0.028+0.044</f>
        <v>7.1999999999999995E-2</v>
      </c>
      <c r="S35" s="339" t="s">
        <v>260</v>
      </c>
      <c r="T35" s="339" t="s">
        <v>260</v>
      </c>
      <c r="U35" s="339" t="s">
        <v>260</v>
      </c>
      <c r="V35" s="339" t="s">
        <v>463</v>
      </c>
      <c r="W35" s="339" t="s">
        <v>463</v>
      </c>
      <c r="X35" s="339" t="s">
        <v>260</v>
      </c>
      <c r="Y35" s="339" t="s">
        <v>260</v>
      </c>
      <c r="Z35" s="465"/>
      <c r="AA35" s="465"/>
    </row>
    <row r="36" spans="1:27" s="340" customFormat="1" ht="30" x14ac:dyDescent="0.25">
      <c r="A36" s="339">
        <v>5</v>
      </c>
      <c r="B36" s="338" t="s">
        <v>546</v>
      </c>
      <c r="C36" s="338" t="s">
        <v>563</v>
      </c>
      <c r="D36" s="338" t="s">
        <v>546</v>
      </c>
      <c r="E36" s="344" t="str">
        <f t="shared" si="0"/>
        <v>СП-219 - ул. Леонова 12-12а</v>
      </c>
      <c r="F36" s="339">
        <v>0.23</v>
      </c>
      <c r="G36" s="339">
        <v>0.4</v>
      </c>
      <c r="H36" s="339">
        <v>0.23</v>
      </c>
      <c r="I36" s="339">
        <v>0.4</v>
      </c>
      <c r="J36" s="339" t="s">
        <v>444</v>
      </c>
      <c r="K36" s="339" t="s">
        <v>260</v>
      </c>
      <c r="L36" s="339" t="s">
        <v>260</v>
      </c>
      <c r="M36" s="339" t="s">
        <v>458</v>
      </c>
      <c r="N36" s="339" t="s">
        <v>562</v>
      </c>
      <c r="O36" s="339" t="s">
        <v>462</v>
      </c>
      <c r="P36" s="339" t="s">
        <v>462</v>
      </c>
      <c r="Q36" s="339">
        <v>0.28999999999999998</v>
      </c>
      <c r="R36" s="339">
        <v>0.14000000000000001</v>
      </c>
      <c r="S36" s="339" t="s">
        <v>260</v>
      </c>
      <c r="T36" s="339" t="s">
        <v>260</v>
      </c>
      <c r="U36" s="339" t="s">
        <v>260</v>
      </c>
      <c r="V36" s="339" t="s">
        <v>463</v>
      </c>
      <c r="W36" s="339" t="s">
        <v>463</v>
      </c>
      <c r="X36" s="339" t="s">
        <v>260</v>
      </c>
      <c r="Y36" s="339" t="s">
        <v>260</v>
      </c>
      <c r="Z36" s="465"/>
      <c r="AA36" s="465"/>
    </row>
    <row r="37" spans="1:27" s="342" customFormat="1" x14ac:dyDescent="0.25">
      <c r="A37" s="345">
        <v>6</v>
      </c>
      <c r="B37" s="338" t="s">
        <v>564</v>
      </c>
      <c r="C37" s="452" t="s">
        <v>727</v>
      </c>
      <c r="D37" s="344" t="str">
        <f t="shared" ref="D37:E39" si="2">B37</f>
        <v>СП-125 - СП-116 К-1</v>
      </c>
      <c r="E37" s="455" t="str">
        <f t="shared" si="0"/>
        <v>ТП-59 - СП-0 - СП-116</v>
      </c>
      <c r="F37" s="339">
        <v>0.23</v>
      </c>
      <c r="G37" s="449">
        <v>0.4</v>
      </c>
      <c r="H37" s="339">
        <v>0.23</v>
      </c>
      <c r="I37" s="449">
        <v>0.4</v>
      </c>
      <c r="J37" s="339" t="s">
        <v>444</v>
      </c>
      <c r="K37" s="339" t="s">
        <v>260</v>
      </c>
      <c r="L37" s="449" t="s">
        <v>260</v>
      </c>
      <c r="M37" s="339" t="s">
        <v>446</v>
      </c>
      <c r="N37" s="449" t="s">
        <v>566</v>
      </c>
      <c r="O37" s="339" t="s">
        <v>462</v>
      </c>
      <c r="P37" s="449" t="s">
        <v>462</v>
      </c>
      <c r="Q37" s="339">
        <v>9.5000000000000001E-2</v>
      </c>
      <c r="R37" s="449">
        <f>0.02+0.124</f>
        <v>0.14399999999999999</v>
      </c>
      <c r="S37" s="339" t="s">
        <v>260</v>
      </c>
      <c r="T37" s="339" t="s">
        <v>260</v>
      </c>
      <c r="U37" s="339" t="s">
        <v>260</v>
      </c>
      <c r="V37" s="339" t="s">
        <v>463</v>
      </c>
      <c r="W37" s="449" t="s">
        <v>463</v>
      </c>
      <c r="X37" s="339" t="s">
        <v>260</v>
      </c>
      <c r="Y37" s="339" t="s">
        <v>260</v>
      </c>
      <c r="Z37" s="465"/>
      <c r="AA37" s="465"/>
    </row>
    <row r="38" spans="1:27" s="342" customFormat="1" x14ac:dyDescent="0.25">
      <c r="A38" s="346"/>
      <c r="B38" s="338" t="s">
        <v>565</v>
      </c>
      <c r="C38" s="454"/>
      <c r="D38" s="344" t="str">
        <f t="shared" si="2"/>
        <v>СП-125 - СП-116 К-2</v>
      </c>
      <c r="E38" s="456"/>
      <c r="F38" s="339">
        <v>0.23</v>
      </c>
      <c r="G38" s="450"/>
      <c r="H38" s="339">
        <v>0.23</v>
      </c>
      <c r="I38" s="450"/>
      <c r="J38" s="339" t="s">
        <v>444</v>
      </c>
      <c r="K38" s="339" t="s">
        <v>260</v>
      </c>
      <c r="L38" s="450"/>
      <c r="M38" s="339" t="s">
        <v>446</v>
      </c>
      <c r="N38" s="450"/>
      <c r="O38" s="339" t="s">
        <v>462</v>
      </c>
      <c r="P38" s="450"/>
      <c r="Q38" s="339">
        <v>9.5000000000000001E-2</v>
      </c>
      <c r="R38" s="450"/>
      <c r="S38" s="339" t="s">
        <v>260</v>
      </c>
      <c r="T38" s="339" t="s">
        <v>260</v>
      </c>
      <c r="U38" s="339" t="s">
        <v>260</v>
      </c>
      <c r="V38" s="339" t="s">
        <v>463</v>
      </c>
      <c r="W38" s="450"/>
      <c r="X38" s="339" t="s">
        <v>260</v>
      </c>
      <c r="Y38" s="339" t="s">
        <v>260</v>
      </c>
      <c r="Z38" s="465"/>
      <c r="AA38" s="465"/>
    </row>
    <row r="39" spans="1:27" s="342" customFormat="1" x14ac:dyDescent="0.25">
      <c r="A39" s="346"/>
      <c r="B39" s="338" t="s">
        <v>567</v>
      </c>
      <c r="C39" s="338" t="s">
        <v>728</v>
      </c>
      <c r="D39" s="344" t="str">
        <f t="shared" si="2"/>
        <v>СП-116 - К.Маркса 32-30</v>
      </c>
      <c r="E39" s="344" t="str">
        <f t="shared" si="2"/>
        <v>СП-116 - СП-1 - ул. К. Маркса 30, 32</v>
      </c>
      <c r="F39" s="339">
        <v>0.23</v>
      </c>
      <c r="G39" s="339">
        <v>0.4</v>
      </c>
      <c r="H39" s="339">
        <v>0.23</v>
      </c>
      <c r="I39" s="339">
        <v>0.4</v>
      </c>
      <c r="J39" s="339" t="s">
        <v>444</v>
      </c>
      <c r="K39" s="339" t="s">
        <v>260</v>
      </c>
      <c r="L39" s="339" t="s">
        <v>260</v>
      </c>
      <c r="M39" s="339" t="s">
        <v>448</v>
      </c>
      <c r="N39" s="339" t="s">
        <v>562</v>
      </c>
      <c r="O39" s="339" t="s">
        <v>462</v>
      </c>
      <c r="P39" s="339" t="s">
        <v>462</v>
      </c>
      <c r="Q39" s="339">
        <v>0.08</v>
      </c>
      <c r="R39" s="339">
        <f>0.1+0.04+0.017</f>
        <v>0.15700000000000003</v>
      </c>
      <c r="S39" s="339" t="s">
        <v>260</v>
      </c>
      <c r="T39" s="339" t="s">
        <v>260</v>
      </c>
      <c r="U39" s="339" t="s">
        <v>260</v>
      </c>
      <c r="V39" s="339" t="s">
        <v>463</v>
      </c>
      <c r="W39" s="339" t="s">
        <v>463</v>
      </c>
      <c r="X39" s="339" t="s">
        <v>260</v>
      </c>
      <c r="Y39" s="339" t="s">
        <v>260</v>
      </c>
      <c r="Z39" s="465"/>
      <c r="AA39" s="465"/>
    </row>
    <row r="40" spans="1:27" s="342" customFormat="1" x14ac:dyDescent="0.25">
      <c r="A40" s="346"/>
      <c r="B40" s="452" t="s">
        <v>407</v>
      </c>
      <c r="C40" s="338" t="s">
        <v>729</v>
      </c>
      <c r="D40" s="455" t="str">
        <f>B40</f>
        <v>СП-1339 - К. Маркса 30-38</v>
      </c>
      <c r="E40" s="338" t="str">
        <f>C40</f>
        <v>СП-2 - СП-64</v>
      </c>
      <c r="F40" s="449">
        <v>0.23</v>
      </c>
      <c r="G40" s="339">
        <v>0.4</v>
      </c>
      <c r="H40" s="449">
        <v>0.23</v>
      </c>
      <c r="I40" s="339">
        <v>0.4</v>
      </c>
      <c r="J40" s="449" t="s">
        <v>444</v>
      </c>
      <c r="K40" s="449" t="s">
        <v>260</v>
      </c>
      <c r="L40" s="339" t="s">
        <v>260</v>
      </c>
      <c r="M40" s="449" t="s">
        <v>448</v>
      </c>
      <c r="N40" s="339" t="s">
        <v>566</v>
      </c>
      <c r="O40" s="449" t="s">
        <v>462</v>
      </c>
      <c r="P40" s="339" t="s">
        <v>462</v>
      </c>
      <c r="Q40" s="449">
        <v>9.4E-2</v>
      </c>
      <c r="R40" s="339">
        <v>0.13400000000000001</v>
      </c>
      <c r="S40" s="449" t="s">
        <v>260</v>
      </c>
      <c r="T40" s="449" t="s">
        <v>260</v>
      </c>
      <c r="U40" s="449" t="s">
        <v>260</v>
      </c>
      <c r="V40" s="449" t="s">
        <v>463</v>
      </c>
      <c r="W40" s="449" t="s">
        <v>463</v>
      </c>
      <c r="X40" s="449" t="s">
        <v>260</v>
      </c>
      <c r="Y40" s="449" t="s">
        <v>260</v>
      </c>
      <c r="Z40" s="465"/>
      <c r="AA40" s="465"/>
    </row>
    <row r="41" spans="1:27" s="342" customFormat="1" x14ac:dyDescent="0.25">
      <c r="A41" s="346"/>
      <c r="B41" s="454"/>
      <c r="C41" s="338" t="s">
        <v>730</v>
      </c>
      <c r="D41" s="456"/>
      <c r="E41" s="344" t="str">
        <f>C41</f>
        <v>СП-1 - К. Маркса 34, 36 ,38</v>
      </c>
      <c r="F41" s="450"/>
      <c r="G41" s="339">
        <v>0.4</v>
      </c>
      <c r="H41" s="450"/>
      <c r="I41" s="339">
        <v>0.4</v>
      </c>
      <c r="J41" s="450"/>
      <c r="K41" s="450"/>
      <c r="L41" s="339" t="s">
        <v>260</v>
      </c>
      <c r="M41" s="450"/>
      <c r="N41" s="339" t="s">
        <v>562</v>
      </c>
      <c r="O41" s="450"/>
      <c r="P41" s="339" t="s">
        <v>462</v>
      </c>
      <c r="Q41" s="450"/>
      <c r="R41" s="339">
        <f>0.042+0.054+0.073</f>
        <v>0.16899999999999998</v>
      </c>
      <c r="S41" s="450"/>
      <c r="T41" s="450"/>
      <c r="U41" s="450"/>
      <c r="V41" s="450"/>
      <c r="W41" s="450"/>
      <c r="X41" s="450"/>
      <c r="Y41" s="450"/>
      <c r="Z41" s="465"/>
      <c r="AA41" s="465"/>
    </row>
    <row r="42" spans="1:27" s="342" customFormat="1" x14ac:dyDescent="0.25">
      <c r="A42" s="346"/>
      <c r="B42" s="338" t="s">
        <v>568</v>
      </c>
      <c r="C42" s="338" t="s">
        <v>569</v>
      </c>
      <c r="D42" s="344" t="str">
        <f t="shared" ref="D42:E45" si="3">B42</f>
        <v>СП-29 - Комсомольская 26</v>
      </c>
      <c r="E42" s="344" t="str">
        <f>C42</f>
        <v>СП-1384 - Комсомольская 26</v>
      </c>
      <c r="F42" s="339">
        <v>0.23</v>
      </c>
      <c r="G42" s="339">
        <v>0.4</v>
      </c>
      <c r="H42" s="339">
        <v>0.23</v>
      </c>
      <c r="I42" s="339">
        <v>0.4</v>
      </c>
      <c r="J42" s="339" t="s">
        <v>444</v>
      </c>
      <c r="K42" s="339" t="s">
        <v>260</v>
      </c>
      <c r="L42" s="339" t="s">
        <v>260</v>
      </c>
      <c r="M42" s="339" t="s">
        <v>448</v>
      </c>
      <c r="N42" s="339" t="s">
        <v>562</v>
      </c>
      <c r="O42" s="339" t="s">
        <v>462</v>
      </c>
      <c r="P42" s="339" t="s">
        <v>462</v>
      </c>
      <c r="Q42" s="339">
        <v>0.125</v>
      </c>
      <c r="R42" s="339">
        <v>1.7000000000000001E-2</v>
      </c>
      <c r="S42" s="339" t="s">
        <v>260</v>
      </c>
      <c r="T42" s="339" t="s">
        <v>260</v>
      </c>
      <c r="U42" s="339" t="s">
        <v>260</v>
      </c>
      <c r="V42" s="339" t="s">
        <v>463</v>
      </c>
      <c r="W42" s="339" t="s">
        <v>463</v>
      </c>
      <c r="X42" s="339" t="s">
        <v>260</v>
      </c>
      <c r="Y42" s="339" t="s">
        <v>260</v>
      </c>
      <c r="Z42" s="465"/>
      <c r="AA42" s="465"/>
    </row>
    <row r="43" spans="1:27" s="342" customFormat="1" x14ac:dyDescent="0.25">
      <c r="A43" s="346"/>
      <c r="B43" s="452" t="s">
        <v>568</v>
      </c>
      <c r="C43" s="338" t="s">
        <v>731</v>
      </c>
      <c r="D43" s="344" t="str">
        <f t="shared" si="3"/>
        <v>СП-29 - Комсомольская 26</v>
      </c>
      <c r="E43" s="347" t="str">
        <f>C43</f>
        <v>СП-1 - СП-1339 - СП-2</v>
      </c>
      <c r="F43" s="449">
        <v>0.23</v>
      </c>
      <c r="G43" s="339">
        <v>0.4</v>
      </c>
      <c r="H43" s="449">
        <v>0.23</v>
      </c>
      <c r="I43" s="339">
        <v>0.4</v>
      </c>
      <c r="J43" s="449" t="s">
        <v>444</v>
      </c>
      <c r="K43" s="449" t="s">
        <v>260</v>
      </c>
      <c r="L43" s="339" t="s">
        <v>260</v>
      </c>
      <c r="M43" s="449" t="s">
        <v>445</v>
      </c>
      <c r="N43" s="341" t="s">
        <v>566</v>
      </c>
      <c r="O43" s="449" t="s">
        <v>462</v>
      </c>
      <c r="P43" s="339" t="s">
        <v>462</v>
      </c>
      <c r="Q43" s="449">
        <v>0.22500000000000001</v>
      </c>
      <c r="R43" s="339">
        <f>0.08+0.075</f>
        <v>0.155</v>
      </c>
      <c r="S43" s="449" t="s">
        <v>260</v>
      </c>
      <c r="T43" s="449" t="s">
        <v>260</v>
      </c>
      <c r="U43" s="449" t="s">
        <v>260</v>
      </c>
      <c r="V43" s="449" t="s">
        <v>463</v>
      </c>
      <c r="W43" s="339" t="s">
        <v>463</v>
      </c>
      <c r="X43" s="449" t="s">
        <v>260</v>
      </c>
      <c r="Y43" s="449" t="s">
        <v>260</v>
      </c>
      <c r="Z43" s="465"/>
      <c r="AA43" s="465"/>
    </row>
    <row r="44" spans="1:27" s="342" customFormat="1" x14ac:dyDescent="0.25">
      <c r="A44" s="346"/>
      <c r="B44" s="454"/>
      <c r="C44" s="338" t="s">
        <v>732</v>
      </c>
      <c r="D44" s="348"/>
      <c r="E44" s="347" t="str">
        <f>C44</f>
        <v>СП-2 - ул. К. Маркса 27, 25, 23</v>
      </c>
      <c r="F44" s="451"/>
      <c r="G44" s="339"/>
      <c r="H44" s="451"/>
      <c r="I44" s="339"/>
      <c r="J44" s="451"/>
      <c r="K44" s="451"/>
      <c r="L44" s="339"/>
      <c r="M44" s="451"/>
      <c r="N44" s="341" t="s">
        <v>562</v>
      </c>
      <c r="O44" s="451"/>
      <c r="P44" s="339"/>
      <c r="Q44" s="451"/>
      <c r="R44" s="339">
        <f>0.017+0.055+0.088</f>
        <v>0.16</v>
      </c>
      <c r="S44" s="451"/>
      <c r="T44" s="451"/>
      <c r="U44" s="451"/>
      <c r="V44" s="451"/>
      <c r="W44" s="339"/>
      <c r="X44" s="451"/>
      <c r="Y44" s="451"/>
      <c r="Z44" s="465"/>
      <c r="AA44" s="465"/>
    </row>
    <row r="45" spans="1:27" s="342" customFormat="1" x14ac:dyDescent="0.25">
      <c r="A45" s="449">
        <v>7</v>
      </c>
      <c r="B45" s="452" t="s">
        <v>571</v>
      </c>
      <c r="C45" s="338" t="s">
        <v>733</v>
      </c>
      <c r="D45" s="455" t="str">
        <f t="shared" ref="D45" si="4">B45</f>
        <v>РП-6 - СП-52</v>
      </c>
      <c r="E45" s="344" t="str">
        <f t="shared" si="3"/>
        <v>ТП-517 - ЯРП-250</v>
      </c>
      <c r="F45" s="450"/>
      <c r="G45" s="339">
        <v>0.4</v>
      </c>
      <c r="H45" s="450"/>
      <c r="I45" s="339">
        <v>0.4</v>
      </c>
      <c r="J45" s="450"/>
      <c r="K45" s="450"/>
      <c r="L45" s="339" t="s">
        <v>260</v>
      </c>
      <c r="M45" s="450"/>
      <c r="N45" s="341" t="s">
        <v>734</v>
      </c>
      <c r="O45" s="450"/>
      <c r="P45" s="339" t="s">
        <v>462</v>
      </c>
      <c r="Q45" s="450"/>
      <c r="R45" s="339">
        <v>5.0000000000000001E-3</v>
      </c>
      <c r="S45" s="450"/>
      <c r="T45" s="450"/>
      <c r="U45" s="450"/>
      <c r="V45" s="450"/>
      <c r="W45" s="339" t="s">
        <v>463</v>
      </c>
      <c r="X45" s="450"/>
      <c r="Y45" s="450"/>
      <c r="Z45" s="465"/>
      <c r="AA45" s="465"/>
    </row>
    <row r="46" spans="1:27" s="342" customFormat="1" ht="30" x14ac:dyDescent="0.25">
      <c r="A46" s="451"/>
      <c r="B46" s="454"/>
      <c r="C46" s="338" t="s">
        <v>735</v>
      </c>
      <c r="D46" s="456"/>
      <c r="E46" s="338" t="str">
        <f>C46</f>
        <v>ТП-517 - СП-172 - соед.муфта, соед. муфта, соед. муфта</v>
      </c>
      <c r="F46" s="345"/>
      <c r="G46" s="339"/>
      <c r="H46" s="345"/>
      <c r="I46" s="339"/>
      <c r="J46" s="345"/>
      <c r="K46" s="345"/>
      <c r="L46" s="339"/>
      <c r="M46" s="345"/>
      <c r="N46" s="341" t="s">
        <v>736</v>
      </c>
      <c r="O46" s="345" t="s">
        <v>462</v>
      </c>
      <c r="P46" s="339" t="s">
        <v>462</v>
      </c>
      <c r="Q46" s="345"/>
      <c r="R46" s="339">
        <f>0.125+0.01+0.01+0.01</f>
        <v>0.15500000000000003</v>
      </c>
      <c r="S46" s="345"/>
      <c r="T46" s="345"/>
      <c r="U46" s="345"/>
      <c r="V46" s="345"/>
      <c r="W46" s="339"/>
      <c r="X46" s="345"/>
      <c r="Y46" s="345"/>
      <c r="Z46" s="465"/>
      <c r="AA46" s="465"/>
    </row>
    <row r="47" spans="1:27" s="342" customFormat="1" ht="45" x14ac:dyDescent="0.25">
      <c r="A47" s="451"/>
      <c r="B47" s="338" t="s">
        <v>572</v>
      </c>
      <c r="C47" s="338" t="s">
        <v>737</v>
      </c>
      <c r="D47" s="338" t="s">
        <v>570</v>
      </c>
      <c r="E47" s="338" t="str">
        <f>C47</f>
        <v xml:space="preserve">СП-172 - СП-1  - ул. К. Маркса 16, 5-11, 3/ул. Леонова 33-37, светофор </v>
      </c>
      <c r="F47" s="339">
        <v>0.23</v>
      </c>
      <c r="G47" s="339">
        <v>0.4</v>
      </c>
      <c r="H47" s="339">
        <v>0.23</v>
      </c>
      <c r="I47" s="339">
        <v>0.4</v>
      </c>
      <c r="J47" s="339" t="s">
        <v>444</v>
      </c>
      <c r="K47" s="339" t="s">
        <v>260</v>
      </c>
      <c r="L47" s="339" t="s">
        <v>260</v>
      </c>
      <c r="M47" s="339" t="s">
        <v>447</v>
      </c>
      <c r="N47" s="341" t="s">
        <v>738</v>
      </c>
      <c r="O47" s="339" t="s">
        <v>462</v>
      </c>
      <c r="P47" s="339" t="s">
        <v>462</v>
      </c>
      <c r="Q47" s="339">
        <v>0.32</v>
      </c>
      <c r="R47" s="339">
        <f>0.122+0.113+0.095+0.158+0.013</f>
        <v>0.501</v>
      </c>
      <c r="S47" s="339" t="s">
        <v>260</v>
      </c>
      <c r="T47" s="339" t="s">
        <v>260</v>
      </c>
      <c r="U47" s="339" t="s">
        <v>260</v>
      </c>
      <c r="V47" s="339" t="s">
        <v>463</v>
      </c>
      <c r="W47" s="339" t="s">
        <v>463</v>
      </c>
      <c r="X47" s="339" t="s">
        <v>260</v>
      </c>
      <c r="Y47" s="339" t="s">
        <v>260</v>
      </c>
      <c r="Z47" s="465"/>
      <c r="AA47" s="465"/>
    </row>
    <row r="48" spans="1:27" s="342" customFormat="1" ht="45" x14ac:dyDescent="0.25">
      <c r="A48" s="451"/>
      <c r="B48" s="338" t="s">
        <v>573</v>
      </c>
      <c r="C48" s="338" t="s">
        <v>739</v>
      </c>
      <c r="D48" s="338" t="s">
        <v>573</v>
      </c>
      <c r="E48" s="338" t="s">
        <v>739</v>
      </c>
      <c r="F48" s="339">
        <v>0.23</v>
      </c>
      <c r="G48" s="339">
        <v>0.4</v>
      </c>
      <c r="H48" s="339">
        <v>0.23</v>
      </c>
      <c r="I48" s="339">
        <v>0.4</v>
      </c>
      <c r="J48" s="339" t="s">
        <v>444</v>
      </c>
      <c r="K48" s="339" t="s">
        <v>260</v>
      </c>
      <c r="L48" s="339" t="s">
        <v>260</v>
      </c>
      <c r="M48" s="339" t="s">
        <v>456</v>
      </c>
      <c r="N48" s="341" t="s">
        <v>740</v>
      </c>
      <c r="O48" s="339" t="s">
        <v>462</v>
      </c>
      <c r="P48" s="339" t="s">
        <v>462</v>
      </c>
      <c r="Q48" s="339">
        <v>0.42</v>
      </c>
      <c r="R48" s="339">
        <f>0.195+0.133+0.068+0.05</f>
        <v>0.44600000000000001</v>
      </c>
      <c r="S48" s="339" t="s">
        <v>260</v>
      </c>
      <c r="T48" s="339" t="s">
        <v>260</v>
      </c>
      <c r="U48" s="339" t="s">
        <v>260</v>
      </c>
      <c r="V48" s="339" t="s">
        <v>463</v>
      </c>
      <c r="W48" s="339" t="s">
        <v>463</v>
      </c>
      <c r="X48" s="339" t="s">
        <v>260</v>
      </c>
      <c r="Y48" s="339" t="s">
        <v>260</v>
      </c>
      <c r="Z48" s="465"/>
      <c r="AA48" s="465"/>
    </row>
    <row r="49" spans="1:27" s="342" customFormat="1" ht="30" x14ac:dyDescent="0.25">
      <c r="A49" s="451"/>
      <c r="B49" s="338" t="s">
        <v>434</v>
      </c>
      <c r="C49" s="338" t="s">
        <v>741</v>
      </c>
      <c r="D49" s="344" t="str">
        <f>B49</f>
        <v>СП-116 - Чайковского 66-64</v>
      </c>
      <c r="E49" s="344" t="str">
        <f>C49</f>
        <v>СП-2 - СП-3 - ул. Чайковского 64, 66</v>
      </c>
      <c r="F49" s="339">
        <v>0.23</v>
      </c>
      <c r="G49" s="339">
        <v>0.4</v>
      </c>
      <c r="H49" s="339">
        <v>0.23</v>
      </c>
      <c r="I49" s="339">
        <v>0.4</v>
      </c>
      <c r="J49" s="339" t="s">
        <v>444</v>
      </c>
      <c r="K49" s="339" t="s">
        <v>260</v>
      </c>
      <c r="L49" s="339" t="s">
        <v>260</v>
      </c>
      <c r="M49" s="339" t="s">
        <v>447</v>
      </c>
      <c r="N49" s="341" t="s">
        <v>574</v>
      </c>
      <c r="O49" s="339" t="s">
        <v>462</v>
      </c>
      <c r="P49" s="339" t="s">
        <v>462</v>
      </c>
      <c r="Q49" s="339">
        <v>0.23</v>
      </c>
      <c r="R49" s="339">
        <f>0.112+0.045+0.034</f>
        <v>0.191</v>
      </c>
      <c r="S49" s="339">
        <f>SUM(R45:R49)</f>
        <v>1.298</v>
      </c>
      <c r="T49" s="339" t="s">
        <v>260</v>
      </c>
      <c r="U49" s="339" t="s">
        <v>260</v>
      </c>
      <c r="V49" s="339" t="s">
        <v>463</v>
      </c>
      <c r="W49" s="339" t="s">
        <v>463</v>
      </c>
      <c r="X49" s="339" t="s">
        <v>260</v>
      </c>
      <c r="Y49" s="339" t="s">
        <v>260</v>
      </c>
      <c r="Z49" s="465"/>
      <c r="AA49" s="465"/>
    </row>
    <row r="50" spans="1:27" s="342" customFormat="1" ht="45" x14ac:dyDescent="0.25">
      <c r="A50" s="451"/>
      <c r="B50" s="338" t="s">
        <v>742</v>
      </c>
      <c r="C50" s="338" t="s">
        <v>743</v>
      </c>
      <c r="D50" s="339" t="s">
        <v>260</v>
      </c>
      <c r="E50" s="338" t="str">
        <f>C50</f>
        <v>соед. муфта (ТП-103) - РП-6</v>
      </c>
      <c r="F50" s="339" t="s">
        <v>260</v>
      </c>
      <c r="G50" s="339">
        <v>0.4</v>
      </c>
      <c r="H50" s="339" t="s">
        <v>260</v>
      </c>
      <c r="I50" s="339">
        <v>0.4</v>
      </c>
      <c r="J50" s="339" t="s">
        <v>260</v>
      </c>
      <c r="K50" s="339" t="s">
        <v>260</v>
      </c>
      <c r="L50" s="339" t="s">
        <v>260</v>
      </c>
      <c r="M50" s="339" t="s">
        <v>260</v>
      </c>
      <c r="N50" s="341" t="s">
        <v>744</v>
      </c>
      <c r="O50" s="339" t="s">
        <v>260</v>
      </c>
      <c r="P50" s="339" t="s">
        <v>462</v>
      </c>
      <c r="Q50" s="339" t="s">
        <v>260</v>
      </c>
      <c r="R50" s="339">
        <v>0.49299999999999999</v>
      </c>
      <c r="S50" s="339" t="s">
        <v>260</v>
      </c>
      <c r="T50" s="339" t="s">
        <v>260</v>
      </c>
      <c r="U50" s="339" t="s">
        <v>260</v>
      </c>
      <c r="V50" s="339" t="s">
        <v>260</v>
      </c>
      <c r="W50" s="339" t="s">
        <v>463</v>
      </c>
      <c r="X50" s="339" t="s">
        <v>260</v>
      </c>
      <c r="Y50" s="339" t="s">
        <v>260</v>
      </c>
      <c r="Z50" s="465"/>
      <c r="AA50" s="465"/>
    </row>
    <row r="51" spans="1:27" s="342" customFormat="1" ht="30" x14ac:dyDescent="0.25">
      <c r="A51" s="450"/>
      <c r="B51" s="338" t="s">
        <v>745</v>
      </c>
      <c r="C51" s="338" t="s">
        <v>746</v>
      </c>
      <c r="D51" s="339" t="s">
        <v>260</v>
      </c>
      <c r="E51" s="338" t="str">
        <f>C51</f>
        <v>соед. муфта (ТП-517) - соед. муфта (РП-6)</v>
      </c>
      <c r="F51" s="339" t="s">
        <v>260</v>
      </c>
      <c r="G51" s="339">
        <v>0.4</v>
      </c>
      <c r="H51" s="339" t="s">
        <v>260</v>
      </c>
      <c r="I51" s="339">
        <v>0.4</v>
      </c>
      <c r="J51" s="339" t="s">
        <v>260</v>
      </c>
      <c r="K51" s="339" t="s">
        <v>260</v>
      </c>
      <c r="L51" s="339" t="s">
        <v>260</v>
      </c>
      <c r="M51" s="339" t="s">
        <v>260</v>
      </c>
      <c r="N51" s="341" t="s">
        <v>747</v>
      </c>
      <c r="O51" s="339" t="s">
        <v>260</v>
      </c>
      <c r="P51" s="339" t="s">
        <v>462</v>
      </c>
      <c r="Q51" s="339" t="s">
        <v>260</v>
      </c>
      <c r="R51" s="339">
        <v>1.2999999999999999E-2</v>
      </c>
      <c r="S51" s="339" t="s">
        <v>260</v>
      </c>
      <c r="T51" s="339" t="s">
        <v>260</v>
      </c>
      <c r="U51" s="339" t="s">
        <v>260</v>
      </c>
      <c r="V51" s="339" t="s">
        <v>260</v>
      </c>
      <c r="W51" s="339" t="s">
        <v>463</v>
      </c>
      <c r="X51" s="339" t="s">
        <v>260</v>
      </c>
      <c r="Y51" s="339" t="s">
        <v>260</v>
      </c>
      <c r="Z51" s="465"/>
      <c r="AA51" s="465"/>
    </row>
    <row r="52" spans="1:27" s="340" customFormat="1" x14ac:dyDescent="0.25">
      <c r="A52" s="449">
        <v>8</v>
      </c>
      <c r="B52" s="349" t="s">
        <v>464</v>
      </c>
      <c r="C52" s="349" t="s">
        <v>575</v>
      </c>
      <c r="D52" s="349" t="s">
        <v>464</v>
      </c>
      <c r="E52" s="349" t="s">
        <v>575</v>
      </c>
      <c r="F52" s="339">
        <v>0.23</v>
      </c>
      <c r="G52" s="339">
        <v>0.4</v>
      </c>
      <c r="H52" s="339">
        <v>0.23</v>
      </c>
      <c r="I52" s="339">
        <v>0.4</v>
      </c>
      <c r="J52" s="339" t="s">
        <v>444</v>
      </c>
      <c r="K52" s="339" t="s">
        <v>260</v>
      </c>
      <c r="L52" s="339" t="s">
        <v>260</v>
      </c>
      <c r="M52" s="350" t="s">
        <v>465</v>
      </c>
      <c r="N52" s="339" t="s">
        <v>576</v>
      </c>
      <c r="O52" s="339" t="s">
        <v>466</v>
      </c>
      <c r="P52" s="339" t="s">
        <v>462</v>
      </c>
      <c r="Q52" s="351">
        <v>0.128</v>
      </c>
      <c r="R52" s="351">
        <v>0.10100000000000001</v>
      </c>
      <c r="S52" s="352" t="s">
        <v>260</v>
      </c>
      <c r="T52" s="339" t="s">
        <v>260</v>
      </c>
      <c r="U52" s="339" t="s">
        <v>260</v>
      </c>
      <c r="V52" s="339" t="s">
        <v>467</v>
      </c>
      <c r="W52" s="339" t="s">
        <v>463</v>
      </c>
      <c r="X52" s="339" t="s">
        <v>260</v>
      </c>
      <c r="Y52" s="339" t="s">
        <v>260</v>
      </c>
      <c r="Z52" s="465"/>
      <c r="AA52" s="465"/>
    </row>
    <row r="53" spans="1:27" s="340" customFormat="1" ht="30" x14ac:dyDescent="0.25">
      <c r="A53" s="451"/>
      <c r="B53" s="338" t="s">
        <v>577</v>
      </c>
      <c r="C53" s="338" t="s">
        <v>748</v>
      </c>
      <c r="D53" s="344" t="str">
        <f t="shared" ref="D53:E53" si="5">B53</f>
        <v>ТП-553 - СП-205</v>
      </c>
      <c r="E53" s="344" t="str">
        <f t="shared" si="5"/>
        <v>ТП-553 - СП-1 - СП-205</v>
      </c>
      <c r="F53" s="339">
        <v>0.23</v>
      </c>
      <c r="G53" s="339">
        <v>0.4</v>
      </c>
      <c r="H53" s="339">
        <v>0.23</v>
      </c>
      <c r="I53" s="339">
        <v>0.4</v>
      </c>
      <c r="J53" s="339" t="s">
        <v>444</v>
      </c>
      <c r="K53" s="339" t="s">
        <v>260</v>
      </c>
      <c r="L53" s="339" t="s">
        <v>260</v>
      </c>
      <c r="M53" s="339" t="s">
        <v>446</v>
      </c>
      <c r="N53" s="341" t="s">
        <v>578</v>
      </c>
      <c r="O53" s="339" t="s">
        <v>462</v>
      </c>
      <c r="P53" s="339" t="s">
        <v>462</v>
      </c>
      <c r="Q53" s="339">
        <v>0.155</v>
      </c>
      <c r="R53" s="339">
        <f>0.211+0.081</f>
        <v>0.29199999999999998</v>
      </c>
      <c r="S53" s="339" t="s">
        <v>260</v>
      </c>
      <c r="T53" s="339" t="s">
        <v>260</v>
      </c>
      <c r="U53" s="339" t="s">
        <v>260</v>
      </c>
      <c r="V53" s="339" t="s">
        <v>463</v>
      </c>
      <c r="W53" s="339" t="s">
        <v>463</v>
      </c>
      <c r="X53" s="339" t="s">
        <v>260</v>
      </c>
      <c r="Y53" s="339" t="s">
        <v>260</v>
      </c>
      <c r="Z53" s="465"/>
      <c r="AA53" s="465"/>
    </row>
    <row r="54" spans="1:27" s="340" customFormat="1" x14ac:dyDescent="0.25">
      <c r="A54" s="451"/>
      <c r="B54" s="452" t="s">
        <v>431</v>
      </c>
      <c r="C54" s="338" t="s">
        <v>749</v>
      </c>
      <c r="D54" s="452" t="s">
        <v>431</v>
      </c>
      <c r="E54" s="338" t="str">
        <f>C54</f>
        <v>СП-1 - ул. М. Борзова 79-85</v>
      </c>
      <c r="F54" s="449">
        <v>0.23</v>
      </c>
      <c r="G54" s="339">
        <v>0.4</v>
      </c>
      <c r="H54" s="449">
        <v>0.23</v>
      </c>
      <c r="I54" s="339">
        <v>0.4</v>
      </c>
      <c r="J54" s="449" t="s">
        <v>444</v>
      </c>
      <c r="K54" s="449" t="s">
        <v>260</v>
      </c>
      <c r="L54" s="339" t="s">
        <v>260</v>
      </c>
      <c r="M54" s="449" t="s">
        <v>447</v>
      </c>
      <c r="N54" s="339" t="s">
        <v>579</v>
      </c>
      <c r="O54" s="449" t="s">
        <v>462</v>
      </c>
      <c r="P54" s="339" t="s">
        <v>462</v>
      </c>
      <c r="Q54" s="449">
        <v>0.43</v>
      </c>
      <c r="R54" s="339">
        <v>2.5000000000000001E-2</v>
      </c>
      <c r="S54" s="467">
        <f>SUM(R52:R58)</f>
        <v>0.98199999999999998</v>
      </c>
      <c r="T54" s="449" t="s">
        <v>260</v>
      </c>
      <c r="U54" s="449" t="s">
        <v>260</v>
      </c>
      <c r="V54" s="449" t="s">
        <v>463</v>
      </c>
      <c r="W54" s="339" t="s">
        <v>463</v>
      </c>
      <c r="X54" s="449" t="s">
        <v>260</v>
      </c>
      <c r="Y54" s="449" t="s">
        <v>260</v>
      </c>
      <c r="Z54" s="465"/>
      <c r="AA54" s="465"/>
    </row>
    <row r="55" spans="1:27" s="340" customFormat="1" x14ac:dyDescent="0.25">
      <c r="A55" s="451"/>
      <c r="B55" s="453"/>
      <c r="C55" s="338" t="s">
        <v>750</v>
      </c>
      <c r="D55" s="453"/>
      <c r="E55" s="338" t="str">
        <f t="shared" ref="E55:E58" si="6">C55</f>
        <v>СП-1 - ЩВУ  - ул. М. Борзова 75, 77</v>
      </c>
      <c r="F55" s="451"/>
      <c r="G55" s="339">
        <v>0.4</v>
      </c>
      <c r="H55" s="451"/>
      <c r="I55" s="339">
        <v>0.4</v>
      </c>
      <c r="J55" s="451"/>
      <c r="K55" s="451"/>
      <c r="L55" s="339" t="s">
        <v>260</v>
      </c>
      <c r="M55" s="451"/>
      <c r="N55" s="339" t="s">
        <v>580</v>
      </c>
      <c r="O55" s="451"/>
      <c r="P55" s="339" t="s">
        <v>462</v>
      </c>
      <c r="Q55" s="451"/>
      <c r="R55" s="339">
        <f>0.085+0.017+0.017</f>
        <v>0.11900000000000001</v>
      </c>
      <c r="S55" s="451"/>
      <c r="T55" s="451"/>
      <c r="U55" s="451"/>
      <c r="V55" s="451"/>
      <c r="W55" s="339" t="s">
        <v>463</v>
      </c>
      <c r="X55" s="451"/>
      <c r="Y55" s="451"/>
      <c r="Z55" s="465"/>
      <c r="AA55" s="465"/>
    </row>
    <row r="56" spans="1:27" s="340" customFormat="1" ht="30" x14ac:dyDescent="0.25">
      <c r="A56" s="451"/>
      <c r="B56" s="453"/>
      <c r="C56" s="338" t="s">
        <v>751</v>
      </c>
      <c r="D56" s="453"/>
      <c r="E56" s="338" t="str">
        <f t="shared" si="6"/>
        <v>СП-1 - СП-2 - ул. М, Борзова 67, 71-73-</v>
      </c>
      <c r="F56" s="451"/>
      <c r="G56" s="339">
        <v>0.4</v>
      </c>
      <c r="H56" s="451"/>
      <c r="I56" s="339">
        <v>0.4</v>
      </c>
      <c r="J56" s="451"/>
      <c r="K56" s="451"/>
      <c r="L56" s="339" t="s">
        <v>260</v>
      </c>
      <c r="M56" s="451"/>
      <c r="N56" s="341" t="s">
        <v>581</v>
      </c>
      <c r="O56" s="451"/>
      <c r="P56" s="339" t="s">
        <v>462</v>
      </c>
      <c r="Q56" s="451"/>
      <c r="R56" s="339">
        <f>0.133+0.071+0.033</f>
        <v>0.23700000000000002</v>
      </c>
      <c r="S56" s="451"/>
      <c r="T56" s="451"/>
      <c r="U56" s="451"/>
      <c r="V56" s="451"/>
      <c r="W56" s="339" t="s">
        <v>463</v>
      </c>
      <c r="X56" s="451"/>
      <c r="Y56" s="451"/>
      <c r="Z56" s="465"/>
      <c r="AA56" s="465"/>
    </row>
    <row r="57" spans="1:27" s="340" customFormat="1" ht="30" x14ac:dyDescent="0.25">
      <c r="A57" s="451"/>
      <c r="B57" s="453"/>
      <c r="C57" s="338" t="s">
        <v>752</v>
      </c>
      <c r="D57" s="453"/>
      <c r="E57" s="338" t="str">
        <f t="shared" si="6"/>
        <v>СП-2 - СП-3 - ул. Авторемонтная 23-25, 27-29</v>
      </c>
      <c r="F57" s="451"/>
      <c r="G57" s="339">
        <v>0.4</v>
      </c>
      <c r="H57" s="451"/>
      <c r="I57" s="339">
        <v>0.4</v>
      </c>
      <c r="J57" s="451"/>
      <c r="K57" s="451"/>
      <c r="L57" s="339" t="s">
        <v>260</v>
      </c>
      <c r="M57" s="451"/>
      <c r="N57" s="341" t="s">
        <v>582</v>
      </c>
      <c r="O57" s="451"/>
      <c r="P57" s="339" t="s">
        <v>462</v>
      </c>
      <c r="Q57" s="451"/>
      <c r="R57" s="339">
        <f>0.086+0.035+0.051</f>
        <v>0.17199999999999999</v>
      </c>
      <c r="S57" s="451"/>
      <c r="T57" s="451"/>
      <c r="U57" s="451"/>
      <c r="V57" s="451"/>
      <c r="W57" s="339" t="s">
        <v>463</v>
      </c>
      <c r="X57" s="451"/>
      <c r="Y57" s="451"/>
      <c r="Z57" s="465"/>
      <c r="AA57" s="465"/>
    </row>
    <row r="58" spans="1:27" s="340" customFormat="1" x14ac:dyDescent="0.25">
      <c r="A58" s="450"/>
      <c r="B58" s="454"/>
      <c r="C58" s="338" t="s">
        <v>583</v>
      </c>
      <c r="D58" s="454"/>
      <c r="E58" s="338" t="str">
        <f t="shared" si="6"/>
        <v>СП-205 - ул. М. Борзова 87-93</v>
      </c>
      <c r="F58" s="450"/>
      <c r="G58" s="339">
        <v>0.4</v>
      </c>
      <c r="H58" s="450"/>
      <c r="I58" s="339">
        <v>0.4</v>
      </c>
      <c r="J58" s="450"/>
      <c r="K58" s="450"/>
      <c r="L58" s="339" t="s">
        <v>260</v>
      </c>
      <c r="M58" s="450"/>
      <c r="N58" s="339" t="s">
        <v>579</v>
      </c>
      <c r="O58" s="450"/>
      <c r="P58" s="339" t="s">
        <v>462</v>
      </c>
      <c r="Q58" s="450"/>
      <c r="R58" s="339">
        <f>0.036</f>
        <v>3.5999999999999997E-2</v>
      </c>
      <c r="S58" s="450"/>
      <c r="T58" s="450"/>
      <c r="U58" s="450"/>
      <c r="V58" s="450"/>
      <c r="W58" s="339" t="s">
        <v>463</v>
      </c>
      <c r="X58" s="450"/>
      <c r="Y58" s="450"/>
      <c r="Z58" s="465"/>
      <c r="AA58" s="465"/>
    </row>
    <row r="59" spans="1:27" s="342" customFormat="1" ht="30" x14ac:dyDescent="0.25">
      <c r="A59" s="449">
        <v>9</v>
      </c>
      <c r="B59" s="452" t="s">
        <v>425</v>
      </c>
      <c r="C59" s="338" t="s">
        <v>753</v>
      </c>
      <c r="D59" s="455" t="str">
        <f>B59</f>
        <v>ТП-106 - Борзова 48-40,38-26,41-39</v>
      </c>
      <c r="E59" s="338" t="str">
        <f>C59</f>
        <v>ТП-106 - СП-1 0,4/0,23 - ул. М. Борзова 24, 26</v>
      </c>
      <c r="F59" s="449">
        <v>0.23</v>
      </c>
      <c r="G59" s="339">
        <v>0.4</v>
      </c>
      <c r="H59" s="449">
        <v>0.23</v>
      </c>
      <c r="I59" s="339">
        <v>0.4</v>
      </c>
      <c r="J59" s="449" t="s">
        <v>444</v>
      </c>
      <c r="K59" s="449" t="s">
        <v>260</v>
      </c>
      <c r="L59" s="339" t="s">
        <v>260</v>
      </c>
      <c r="M59" s="449" t="s">
        <v>446</v>
      </c>
      <c r="N59" s="341" t="s">
        <v>582</v>
      </c>
      <c r="O59" s="449" t="s">
        <v>462</v>
      </c>
      <c r="P59" s="339" t="s">
        <v>462</v>
      </c>
      <c r="Q59" s="449">
        <v>0.52</v>
      </c>
      <c r="R59" s="339">
        <f>2*0.318+0.031+0.025</f>
        <v>0.69200000000000006</v>
      </c>
      <c r="S59" s="449" t="s">
        <v>260</v>
      </c>
      <c r="T59" s="449" t="s">
        <v>260</v>
      </c>
      <c r="U59" s="449" t="s">
        <v>260</v>
      </c>
      <c r="V59" s="449" t="s">
        <v>463</v>
      </c>
      <c r="W59" s="339" t="s">
        <v>463</v>
      </c>
      <c r="X59" s="449" t="s">
        <v>260</v>
      </c>
      <c r="Y59" s="449" t="s">
        <v>260</v>
      </c>
      <c r="Z59" s="465"/>
      <c r="AA59" s="465"/>
    </row>
    <row r="60" spans="1:27" s="342" customFormat="1" ht="45" x14ac:dyDescent="0.25">
      <c r="A60" s="451"/>
      <c r="B60" s="453"/>
      <c r="C60" s="338" t="s">
        <v>754</v>
      </c>
      <c r="D60" s="468"/>
      <c r="E60" s="338" t="str">
        <f>C60</f>
        <v>СП-1 0,4/0,23 - СП 2 - ул. М. Борзова 28, 30, 32, 34, 36, 38, соед. Муфта №1 - СП-6 - ул. М. Борзова, 40, 42, 44, 46, 48</v>
      </c>
      <c r="F60" s="451"/>
      <c r="G60" s="339">
        <v>0.4</v>
      </c>
      <c r="H60" s="451"/>
      <c r="I60" s="339">
        <v>0.4</v>
      </c>
      <c r="J60" s="451"/>
      <c r="K60" s="451"/>
      <c r="L60" s="339" t="s">
        <v>260</v>
      </c>
      <c r="M60" s="451"/>
      <c r="N60" s="341" t="s">
        <v>755</v>
      </c>
      <c r="O60" s="451"/>
      <c r="P60" s="339" t="s">
        <v>462</v>
      </c>
      <c r="Q60" s="451"/>
      <c r="R60" s="339">
        <f>0.044+0.047+0.035+0.017+0.041+0.051+0.063+0.091+0.007+0.052+0.042+0.027+0.042+0.047</f>
        <v>0.60600000000000009</v>
      </c>
      <c r="S60" s="451"/>
      <c r="T60" s="451"/>
      <c r="U60" s="451"/>
      <c r="V60" s="451"/>
      <c r="W60" s="339" t="s">
        <v>463</v>
      </c>
      <c r="X60" s="451"/>
      <c r="Y60" s="451"/>
      <c r="Z60" s="465"/>
      <c r="AA60" s="465"/>
    </row>
    <row r="61" spans="1:27" s="342" customFormat="1" ht="30" x14ac:dyDescent="0.25">
      <c r="A61" s="451"/>
      <c r="B61" s="453"/>
      <c r="C61" s="338" t="s">
        <v>756</v>
      </c>
      <c r="D61" s="468"/>
      <c r="E61" s="338" t="str">
        <f>C61</f>
        <v>СП-1 0,4/0,23 - СП-3 - ул. М. Борзова 12, 14, 16, 18, 20, 22</v>
      </c>
      <c r="F61" s="451"/>
      <c r="G61" s="339">
        <v>0.4</v>
      </c>
      <c r="H61" s="451"/>
      <c r="I61" s="339">
        <v>0.4</v>
      </c>
      <c r="J61" s="451"/>
      <c r="K61" s="451"/>
      <c r="L61" s="339" t="s">
        <v>260</v>
      </c>
      <c r="M61" s="451"/>
      <c r="N61" s="341" t="s">
        <v>584</v>
      </c>
      <c r="O61" s="451"/>
      <c r="P61" s="339" t="s">
        <v>462</v>
      </c>
      <c r="Q61" s="451"/>
      <c r="R61" s="339">
        <f>0.051+0.058+0.05+0.039+0.017+0.038+0.05</f>
        <v>0.30299999999999999</v>
      </c>
      <c r="S61" s="451"/>
      <c r="T61" s="451"/>
      <c r="U61" s="451"/>
      <c r="V61" s="451"/>
      <c r="W61" s="339" t="s">
        <v>463</v>
      </c>
      <c r="X61" s="451"/>
      <c r="Y61" s="451"/>
      <c r="Z61" s="465"/>
      <c r="AA61" s="465"/>
    </row>
    <row r="62" spans="1:27" s="342" customFormat="1" ht="45" x14ac:dyDescent="0.25">
      <c r="A62" s="451"/>
      <c r="B62" s="454"/>
      <c r="C62" s="338" t="s">
        <v>757</v>
      </c>
      <c r="D62" s="456"/>
      <c r="E62" s="338" t="s">
        <v>757</v>
      </c>
      <c r="F62" s="450"/>
      <c r="G62" s="339">
        <v>0.4</v>
      </c>
      <c r="H62" s="450"/>
      <c r="I62" s="339">
        <v>0.4</v>
      </c>
      <c r="J62" s="450"/>
      <c r="K62" s="450"/>
      <c r="L62" s="339" t="s">
        <v>260</v>
      </c>
      <c r="M62" s="450"/>
      <c r="N62" s="341" t="s">
        <v>585</v>
      </c>
      <c r="O62" s="450"/>
      <c r="P62" s="339" t="s">
        <v>462</v>
      </c>
      <c r="Q62" s="450"/>
      <c r="R62" s="339">
        <f>0.129+0.181+0.046+0.032+0.017+0.047+0.06+0.015</f>
        <v>0.52700000000000002</v>
      </c>
      <c r="S62" s="450"/>
      <c r="T62" s="450"/>
      <c r="U62" s="450"/>
      <c r="V62" s="450"/>
      <c r="W62" s="339" t="s">
        <v>463</v>
      </c>
      <c r="X62" s="450"/>
      <c r="Y62" s="450"/>
      <c r="Z62" s="465"/>
      <c r="AA62" s="465"/>
    </row>
    <row r="63" spans="1:27" s="342" customFormat="1" ht="45" x14ac:dyDescent="0.25">
      <c r="A63" s="450"/>
      <c r="B63" s="338" t="s">
        <v>432</v>
      </c>
      <c r="C63" s="338" t="s">
        <v>758</v>
      </c>
      <c r="D63" s="347" t="str">
        <f>B63</f>
        <v>СП-350 - Комсомольская,112-108,109-107 - СП-71</v>
      </c>
      <c r="E63" s="338" t="str">
        <f>C63</f>
        <v>СП-1 0,4/0,23 - СП-5 - ул. М. Борзова 39-41, ул. Комсомольская 107, 109-111, 108-112</v>
      </c>
      <c r="F63" s="339">
        <v>0.23</v>
      </c>
      <c r="G63" s="339">
        <v>0.4</v>
      </c>
      <c r="H63" s="339">
        <v>0.23</v>
      </c>
      <c r="I63" s="339">
        <v>0.4</v>
      </c>
      <c r="J63" s="339" t="s">
        <v>444</v>
      </c>
      <c r="K63" s="339" t="s">
        <v>260</v>
      </c>
      <c r="L63" s="339" t="s">
        <v>260</v>
      </c>
      <c r="M63" s="339" t="s">
        <v>447</v>
      </c>
      <c r="N63" s="341" t="s">
        <v>759</v>
      </c>
      <c r="O63" s="339" t="s">
        <v>462</v>
      </c>
      <c r="P63" s="339" t="s">
        <v>462</v>
      </c>
      <c r="Q63" s="339">
        <v>0.2</v>
      </c>
      <c r="R63" s="339">
        <f>0.075+0.053+0.061+0.072+0.086</f>
        <v>0.34699999999999998</v>
      </c>
      <c r="S63" s="339" t="s">
        <v>260</v>
      </c>
      <c r="T63" s="339" t="s">
        <v>260</v>
      </c>
      <c r="U63" s="339" t="s">
        <v>260</v>
      </c>
      <c r="V63" s="339" t="s">
        <v>463</v>
      </c>
      <c r="W63" s="339" t="s">
        <v>463</v>
      </c>
      <c r="X63" s="339" t="s">
        <v>260</v>
      </c>
      <c r="Y63" s="339" t="s">
        <v>260</v>
      </c>
      <c r="Z63" s="465"/>
      <c r="AA63" s="465"/>
    </row>
    <row r="64" spans="1:27" x14ac:dyDescent="0.25">
      <c r="A64" s="449">
        <v>10</v>
      </c>
      <c r="B64" s="338" t="s">
        <v>586</v>
      </c>
      <c r="C64" s="338" t="s">
        <v>760</v>
      </c>
      <c r="D64" s="344" t="str">
        <f t="shared" ref="D64:E70" si="7">B64</f>
        <v>СП-211 - СП-206</v>
      </c>
      <c r="E64" s="344" t="str">
        <f t="shared" si="7"/>
        <v>ТП-511 - СП-1</v>
      </c>
      <c r="F64" s="339">
        <v>0.23</v>
      </c>
      <c r="G64" s="339">
        <v>0.4</v>
      </c>
      <c r="H64" s="339">
        <v>0.23</v>
      </c>
      <c r="I64" s="339">
        <v>0.4</v>
      </c>
      <c r="J64" s="339" t="s">
        <v>444</v>
      </c>
      <c r="K64" s="339" t="s">
        <v>260</v>
      </c>
      <c r="L64" s="339" t="s">
        <v>260</v>
      </c>
      <c r="M64" s="339" t="s">
        <v>446</v>
      </c>
      <c r="N64" s="339" t="s">
        <v>566</v>
      </c>
      <c r="O64" s="339" t="s">
        <v>462</v>
      </c>
      <c r="P64" s="339" t="s">
        <v>462</v>
      </c>
      <c r="Q64" s="339">
        <v>0.21</v>
      </c>
      <c r="R64" s="339">
        <v>0.153</v>
      </c>
      <c r="S64" s="339" t="s">
        <v>260</v>
      </c>
      <c r="T64" s="339" t="s">
        <v>260</v>
      </c>
      <c r="U64" s="339" t="s">
        <v>260</v>
      </c>
      <c r="V64" s="339" t="s">
        <v>463</v>
      </c>
      <c r="W64" s="339" t="s">
        <v>463</v>
      </c>
      <c r="X64" s="339" t="s">
        <v>260</v>
      </c>
      <c r="Y64" s="339" t="s">
        <v>260</v>
      </c>
      <c r="Z64" s="465"/>
      <c r="AA64" s="465"/>
    </row>
    <row r="65" spans="1:27" s="241" customFormat="1" ht="30" x14ac:dyDescent="0.25">
      <c r="A65" s="451"/>
      <c r="B65" s="452" t="s">
        <v>430</v>
      </c>
      <c r="C65" s="338" t="s">
        <v>761</v>
      </c>
      <c r="D65" s="452" t="s">
        <v>430</v>
      </c>
      <c r="E65" s="338" t="str">
        <f t="shared" si="7"/>
        <v>СП-1 - ул. Чекистов 113-115, 117-119, 121-123, 125-127, 129-131</v>
      </c>
      <c r="F65" s="449">
        <v>0.23</v>
      </c>
      <c r="G65" s="339">
        <v>0.4</v>
      </c>
      <c r="H65" s="449">
        <v>0.23</v>
      </c>
      <c r="I65" s="339">
        <v>0.4</v>
      </c>
      <c r="J65" s="449" t="s">
        <v>444</v>
      </c>
      <c r="K65" s="449" t="s">
        <v>260</v>
      </c>
      <c r="L65" s="339" t="s">
        <v>260</v>
      </c>
      <c r="M65" s="449" t="s">
        <v>445</v>
      </c>
      <c r="N65" s="339" t="s">
        <v>589</v>
      </c>
      <c r="O65" s="449" t="s">
        <v>462</v>
      </c>
      <c r="P65" s="339" t="s">
        <v>462</v>
      </c>
      <c r="Q65" s="449">
        <v>0.31</v>
      </c>
      <c r="R65" s="339">
        <f>0.064+0.043+0.023+0.055+0.092</f>
        <v>0.27700000000000002</v>
      </c>
      <c r="S65" s="449" t="s">
        <v>260</v>
      </c>
      <c r="T65" s="449" t="s">
        <v>260</v>
      </c>
      <c r="U65" s="449" t="s">
        <v>260</v>
      </c>
      <c r="V65" s="449" t="s">
        <v>463</v>
      </c>
      <c r="W65" s="339" t="s">
        <v>463</v>
      </c>
      <c r="X65" s="449" t="s">
        <v>260</v>
      </c>
      <c r="Y65" s="449" t="s">
        <v>260</v>
      </c>
      <c r="Z65" s="465"/>
      <c r="AA65" s="465"/>
    </row>
    <row r="66" spans="1:27" ht="30" x14ac:dyDescent="0.25">
      <c r="A66" s="451"/>
      <c r="B66" s="454"/>
      <c r="C66" s="338" t="s">
        <v>762</v>
      </c>
      <c r="D66" s="454"/>
      <c r="E66" s="338" t="str">
        <f t="shared" si="7"/>
        <v>СП-1 - СП-3 - СП-4, ул. Чекистов 133-135, 137-139</v>
      </c>
      <c r="F66" s="450"/>
      <c r="G66" s="339">
        <v>0.4</v>
      </c>
      <c r="H66" s="450"/>
      <c r="I66" s="339">
        <v>0.4</v>
      </c>
      <c r="J66" s="450"/>
      <c r="K66" s="450"/>
      <c r="L66" s="339" t="s">
        <v>260</v>
      </c>
      <c r="M66" s="450"/>
      <c r="N66" s="341" t="s">
        <v>590</v>
      </c>
      <c r="O66" s="450"/>
      <c r="P66" s="339" t="s">
        <v>462</v>
      </c>
      <c r="Q66" s="450"/>
      <c r="R66" s="339">
        <f>0.107+0.113+0.023+0.048</f>
        <v>0.29099999999999998</v>
      </c>
      <c r="S66" s="450"/>
      <c r="T66" s="450"/>
      <c r="U66" s="450"/>
      <c r="V66" s="450"/>
      <c r="W66" s="339" t="s">
        <v>463</v>
      </c>
      <c r="X66" s="450"/>
      <c r="Y66" s="450"/>
      <c r="Z66" s="465"/>
      <c r="AA66" s="465"/>
    </row>
    <row r="67" spans="1:27" s="241" customFormat="1" ht="45" x14ac:dyDescent="0.25">
      <c r="A67" s="451"/>
      <c r="B67" s="338" t="s">
        <v>421</v>
      </c>
      <c r="C67" s="338" t="s">
        <v>763</v>
      </c>
      <c r="D67" s="338" t="s">
        <v>421</v>
      </c>
      <c r="E67" s="338" t="str">
        <f t="shared" si="7"/>
        <v>СП-1 - СП-2- ул. Чекистов 105-107, 101-103, 97-99, 93-95, магазин, СП (сущ.)</v>
      </c>
      <c r="F67" s="339">
        <v>0.23</v>
      </c>
      <c r="G67" s="339">
        <v>0.4</v>
      </c>
      <c r="H67" s="339">
        <v>0.23</v>
      </c>
      <c r="I67" s="339">
        <v>0.4</v>
      </c>
      <c r="J67" s="339" t="s">
        <v>444</v>
      </c>
      <c r="K67" s="339" t="s">
        <v>260</v>
      </c>
      <c r="L67" s="339" t="s">
        <v>260</v>
      </c>
      <c r="M67" s="339" t="s">
        <v>445</v>
      </c>
      <c r="N67" s="341" t="s">
        <v>588</v>
      </c>
      <c r="O67" s="339" t="s">
        <v>462</v>
      </c>
      <c r="P67" s="339" t="s">
        <v>462</v>
      </c>
      <c r="Q67" s="339">
        <v>0.31</v>
      </c>
      <c r="R67" s="339">
        <f>0.166+0.216+0.067+0.054+0.031+0.05+0.073</f>
        <v>0.65700000000000003</v>
      </c>
      <c r="S67" s="339" t="s">
        <v>260</v>
      </c>
      <c r="T67" s="339" t="s">
        <v>260</v>
      </c>
      <c r="U67" s="339" t="s">
        <v>260</v>
      </c>
      <c r="V67" s="339" t="s">
        <v>463</v>
      </c>
      <c r="W67" s="339" t="s">
        <v>463</v>
      </c>
      <c r="X67" s="339" t="s">
        <v>260</v>
      </c>
      <c r="Y67" s="339" t="s">
        <v>260</v>
      </c>
      <c r="Z67" s="465"/>
      <c r="AA67" s="465"/>
    </row>
    <row r="68" spans="1:27" s="241" customFormat="1" ht="30" x14ac:dyDescent="0.25">
      <c r="A68" s="450"/>
      <c r="B68" s="338" t="s">
        <v>426</v>
      </c>
      <c r="C68" s="338" t="s">
        <v>764</v>
      </c>
      <c r="D68" s="344" t="str">
        <f>B68</f>
        <v>СП-206 - Каштановая ал.158-164</v>
      </c>
      <c r="E68" s="338" t="str">
        <f t="shared" si="7"/>
        <v>СП-4 - ул. Каштановая ал.158-160, 162-164</v>
      </c>
      <c r="F68" s="339">
        <v>0.23</v>
      </c>
      <c r="G68" s="339">
        <v>0.4</v>
      </c>
      <c r="H68" s="339">
        <v>0.23</v>
      </c>
      <c r="I68" s="339">
        <v>0.4</v>
      </c>
      <c r="J68" s="339" t="s">
        <v>444</v>
      </c>
      <c r="K68" s="339" t="s">
        <v>260</v>
      </c>
      <c r="L68" s="339" t="s">
        <v>260</v>
      </c>
      <c r="M68" s="339" t="s">
        <v>457</v>
      </c>
      <c r="N68" s="339" t="s">
        <v>591</v>
      </c>
      <c r="O68" s="339" t="s">
        <v>462</v>
      </c>
      <c r="P68" s="339" t="s">
        <v>462</v>
      </c>
      <c r="Q68" s="339">
        <v>0.14000000000000001</v>
      </c>
      <c r="R68" s="339">
        <f>0.048+0.029</f>
        <v>7.6999999999999999E-2</v>
      </c>
      <c r="S68" s="339" t="s">
        <v>260</v>
      </c>
      <c r="T68" s="339" t="s">
        <v>260</v>
      </c>
      <c r="U68" s="339" t="s">
        <v>260</v>
      </c>
      <c r="V68" s="339" t="s">
        <v>463</v>
      </c>
      <c r="W68" s="339" t="s">
        <v>463</v>
      </c>
      <c r="X68" s="339" t="s">
        <v>260</v>
      </c>
      <c r="Y68" s="339" t="s">
        <v>260</v>
      </c>
      <c r="Z68" s="465"/>
      <c r="AA68" s="465"/>
    </row>
    <row r="69" spans="1:27" s="242" customFormat="1" ht="30" x14ac:dyDescent="0.25">
      <c r="A69" s="353">
        <v>11</v>
      </c>
      <c r="B69" s="338" t="s">
        <v>592</v>
      </c>
      <c r="C69" s="338" t="s">
        <v>765</v>
      </c>
      <c r="D69" s="338" t="s">
        <v>592</v>
      </c>
      <c r="E69" s="338" t="str">
        <f t="shared" si="7"/>
        <v>ТП-578 - СП-1 - ул. Чекистов 61-63, 
65-67, 69-71, 73-75, 77-79</v>
      </c>
      <c r="F69" s="339">
        <v>0.23</v>
      </c>
      <c r="G69" s="339">
        <v>0.4</v>
      </c>
      <c r="H69" s="339">
        <v>0.23</v>
      </c>
      <c r="I69" s="339">
        <v>0.4</v>
      </c>
      <c r="J69" s="339" t="s">
        <v>444</v>
      </c>
      <c r="K69" s="339" t="s">
        <v>260</v>
      </c>
      <c r="L69" s="339" t="s">
        <v>260</v>
      </c>
      <c r="M69" s="339" t="s">
        <v>593</v>
      </c>
      <c r="N69" s="341" t="s">
        <v>587</v>
      </c>
      <c r="O69" s="339" t="s">
        <v>462</v>
      </c>
      <c r="P69" s="339" t="s">
        <v>462</v>
      </c>
      <c r="Q69" s="339">
        <v>0.44400000000000001</v>
      </c>
      <c r="R69" s="339">
        <f>0.152+0.086+0.058+0.032+0.047+0.069</f>
        <v>0.44399999999999995</v>
      </c>
      <c r="S69" s="339" t="s">
        <v>260</v>
      </c>
      <c r="T69" s="339" t="s">
        <v>260</v>
      </c>
      <c r="U69" s="339" t="s">
        <v>260</v>
      </c>
      <c r="V69" s="339" t="s">
        <v>463</v>
      </c>
      <c r="W69" s="339" t="s">
        <v>463</v>
      </c>
      <c r="X69" s="339" t="s">
        <v>260</v>
      </c>
      <c r="Y69" s="339" t="s">
        <v>260</v>
      </c>
      <c r="Z69" s="465"/>
      <c r="AA69" s="465"/>
    </row>
    <row r="70" spans="1:27" s="342" customFormat="1" ht="30" x14ac:dyDescent="0.25">
      <c r="A70" s="449">
        <v>12</v>
      </c>
      <c r="B70" s="338" t="s">
        <v>596</v>
      </c>
      <c r="C70" s="452" t="s">
        <v>598</v>
      </c>
      <c r="D70" s="344" t="str">
        <f t="shared" ref="D70" si="8">B70</f>
        <v>ТП-57 - СП-121 угол Чекистов-Родител.</v>
      </c>
      <c r="E70" s="455" t="str">
        <f t="shared" si="7"/>
        <v>ТП-57 - ул. Чекистов 49</v>
      </c>
      <c r="F70" s="339">
        <v>0.23</v>
      </c>
      <c r="G70" s="449">
        <v>0.4</v>
      </c>
      <c r="H70" s="339">
        <v>0.23</v>
      </c>
      <c r="I70" s="449">
        <v>0.4</v>
      </c>
      <c r="J70" s="339" t="s">
        <v>444</v>
      </c>
      <c r="K70" s="339" t="s">
        <v>260</v>
      </c>
      <c r="L70" s="339" t="s">
        <v>260</v>
      </c>
      <c r="M70" s="339" t="s">
        <v>595</v>
      </c>
      <c r="N70" s="449" t="s">
        <v>579</v>
      </c>
      <c r="O70" s="339" t="s">
        <v>462</v>
      </c>
      <c r="P70" s="449" t="s">
        <v>462</v>
      </c>
      <c r="Q70" s="339">
        <v>4.4999999999999998E-2</v>
      </c>
      <c r="R70" s="469">
        <v>7.5499999999999998E-2</v>
      </c>
      <c r="S70" s="339" t="s">
        <v>260</v>
      </c>
      <c r="T70" s="339" t="s">
        <v>260</v>
      </c>
      <c r="U70" s="339" t="s">
        <v>260</v>
      </c>
      <c r="V70" s="339" t="s">
        <v>463</v>
      </c>
      <c r="W70" s="449" t="s">
        <v>463</v>
      </c>
      <c r="X70" s="339" t="s">
        <v>260</v>
      </c>
      <c r="Y70" s="339" t="s">
        <v>260</v>
      </c>
      <c r="Z70" s="465"/>
      <c r="AA70" s="465"/>
    </row>
    <row r="71" spans="1:27" s="342" customFormat="1" x14ac:dyDescent="0.25">
      <c r="A71" s="451"/>
      <c r="B71" s="338" t="s">
        <v>405</v>
      </c>
      <c r="C71" s="454"/>
      <c r="D71" s="338" t="s">
        <v>405</v>
      </c>
      <c r="E71" s="456"/>
      <c r="F71" s="339">
        <v>0.23</v>
      </c>
      <c r="G71" s="450"/>
      <c r="H71" s="339">
        <v>0.23</v>
      </c>
      <c r="I71" s="450"/>
      <c r="J71" s="339" t="s">
        <v>444</v>
      </c>
      <c r="K71" s="339" t="s">
        <v>260</v>
      </c>
      <c r="L71" s="339" t="s">
        <v>260</v>
      </c>
      <c r="M71" s="339" t="s">
        <v>445</v>
      </c>
      <c r="N71" s="450"/>
      <c r="O71" s="339" t="s">
        <v>462</v>
      </c>
      <c r="P71" s="450"/>
      <c r="Q71" s="339">
        <v>9.5000000000000001E-2</v>
      </c>
      <c r="R71" s="470"/>
      <c r="S71" s="339" t="s">
        <v>260</v>
      </c>
      <c r="T71" s="339" t="s">
        <v>260</v>
      </c>
      <c r="U71" s="339" t="s">
        <v>260</v>
      </c>
      <c r="V71" s="339" t="s">
        <v>463</v>
      </c>
      <c r="W71" s="450"/>
      <c r="X71" s="339" t="s">
        <v>260</v>
      </c>
      <c r="Y71" s="339" t="s">
        <v>260</v>
      </c>
      <c r="Z71" s="465"/>
      <c r="AA71" s="465"/>
    </row>
    <row r="72" spans="1:27" s="342" customFormat="1" ht="30" x14ac:dyDescent="0.25">
      <c r="A72" s="451"/>
      <c r="B72" s="338" t="s">
        <v>597</v>
      </c>
      <c r="C72" s="338" t="s">
        <v>766</v>
      </c>
      <c r="D72" s="344" t="str">
        <f>B72</f>
        <v>ТП-57 - СП-12 - ул. Родителева 25-31</v>
      </c>
      <c r="E72" s="338" t="str">
        <f>C72</f>
        <v>ТП-57 - СП-4 - ул. Мл. л-та Родителева 31, 29, 25</v>
      </c>
      <c r="F72" s="339">
        <v>0.23</v>
      </c>
      <c r="G72" s="339">
        <v>0.4</v>
      </c>
      <c r="H72" s="339">
        <v>0.23</v>
      </c>
      <c r="I72" s="339">
        <v>0.4</v>
      </c>
      <c r="J72" s="339" t="s">
        <v>444</v>
      </c>
      <c r="K72" s="339" t="s">
        <v>260</v>
      </c>
      <c r="L72" s="339" t="s">
        <v>260</v>
      </c>
      <c r="M72" s="339" t="s">
        <v>449</v>
      </c>
      <c r="N72" s="341" t="s">
        <v>582</v>
      </c>
      <c r="O72" s="339" t="s">
        <v>462</v>
      </c>
      <c r="P72" s="339" t="s">
        <v>462</v>
      </c>
      <c r="Q72" s="339">
        <v>0.14000000000000001</v>
      </c>
      <c r="R72" s="354">
        <f>0.1775+0.021+0.0635+0.0775</f>
        <v>0.33950000000000002</v>
      </c>
      <c r="S72" s="339" t="s">
        <v>260</v>
      </c>
      <c r="T72" s="339" t="s">
        <v>260</v>
      </c>
      <c r="U72" s="339" t="s">
        <v>260</v>
      </c>
      <c r="V72" s="339" t="s">
        <v>463</v>
      </c>
      <c r="W72" s="339" t="s">
        <v>463</v>
      </c>
      <c r="X72" s="339" t="s">
        <v>260</v>
      </c>
      <c r="Y72" s="339" t="s">
        <v>260</v>
      </c>
      <c r="Z72" s="465"/>
      <c r="AA72" s="465"/>
    </row>
    <row r="73" spans="1:27" s="342" customFormat="1" ht="30" x14ac:dyDescent="0.25">
      <c r="A73" s="451"/>
      <c r="B73" s="338" t="s">
        <v>417</v>
      </c>
      <c r="C73" s="338" t="s">
        <v>767</v>
      </c>
      <c r="D73" s="344" t="str">
        <f>B73</f>
        <v>СП-12 - Родител.15,13,10-6 ,Щорса 18</v>
      </c>
      <c r="E73" s="338" t="str">
        <f>C73</f>
        <v>СП-143 - СП-3 0,4/0,23 - ул. Мл. л-та Родителева 6, 8-10, 9, 13, 15, СП</v>
      </c>
      <c r="F73" s="339">
        <v>0.23</v>
      </c>
      <c r="G73" s="339">
        <v>0.4</v>
      </c>
      <c r="H73" s="339">
        <v>0.23</v>
      </c>
      <c r="I73" s="339">
        <v>0.4</v>
      </c>
      <c r="J73" s="339" t="s">
        <v>444</v>
      </c>
      <c r="K73" s="339" t="s">
        <v>260</v>
      </c>
      <c r="L73" s="339" t="s">
        <v>260</v>
      </c>
      <c r="M73" s="339" t="s">
        <v>447</v>
      </c>
      <c r="N73" s="341" t="s">
        <v>582</v>
      </c>
      <c r="O73" s="339" t="s">
        <v>462</v>
      </c>
      <c r="P73" s="339" t="s">
        <v>462</v>
      </c>
      <c r="Q73" s="339">
        <v>0.46</v>
      </c>
      <c r="R73" s="354">
        <f>0.1615+0.0635+0.0385+0.047+0.0795+0.076+0.1545</f>
        <v>0.62050000000000005</v>
      </c>
      <c r="S73" s="339" t="s">
        <v>260</v>
      </c>
      <c r="T73" s="339" t="s">
        <v>260</v>
      </c>
      <c r="U73" s="339" t="s">
        <v>260</v>
      </c>
      <c r="V73" s="339" t="s">
        <v>463</v>
      </c>
      <c r="W73" s="339" t="s">
        <v>463</v>
      </c>
      <c r="X73" s="339" t="s">
        <v>260</v>
      </c>
      <c r="Y73" s="339" t="s">
        <v>260</v>
      </c>
      <c r="Z73" s="465"/>
      <c r="AA73" s="465"/>
    </row>
    <row r="74" spans="1:27" s="342" customFormat="1" ht="45" x14ac:dyDescent="0.25">
      <c r="A74" s="451"/>
      <c r="B74" s="338" t="s">
        <v>415</v>
      </c>
      <c r="C74" s="338" t="s">
        <v>768</v>
      </c>
      <c r="D74" s="344" t="str">
        <f t="shared" ref="D74:E77" si="9">B74</f>
        <v xml:space="preserve">СП-121 - СП-59 </v>
      </c>
      <c r="E74" s="338" t="str">
        <f>C74</f>
        <v>СП-143 - СП-2 0,4/0,23 - СП, ул. Красная 90, 88, 80-86, 73-75, 77, 79, 81, 83</v>
      </c>
      <c r="F74" s="339">
        <v>0.23</v>
      </c>
      <c r="G74" s="339">
        <v>0.4</v>
      </c>
      <c r="H74" s="339">
        <v>0.23</v>
      </c>
      <c r="I74" s="339">
        <v>0.4</v>
      </c>
      <c r="J74" s="339" t="s">
        <v>444</v>
      </c>
      <c r="K74" s="339" t="s">
        <v>260</v>
      </c>
      <c r="L74" s="339" t="s">
        <v>260</v>
      </c>
      <c r="M74" s="339" t="s">
        <v>447</v>
      </c>
      <c r="N74" s="341" t="s">
        <v>581</v>
      </c>
      <c r="O74" s="339" t="s">
        <v>462</v>
      </c>
      <c r="P74" s="339" t="s">
        <v>462</v>
      </c>
      <c r="Q74" s="339">
        <v>0.3</v>
      </c>
      <c r="R74" s="354">
        <f>0.165+0.0575+0.036+0.053+0.071+0.0205+0.0335+0.047+0.075+0.127</f>
        <v>0.6855</v>
      </c>
      <c r="S74" s="339" t="s">
        <v>260</v>
      </c>
      <c r="T74" s="339" t="s">
        <v>260</v>
      </c>
      <c r="U74" s="339" t="s">
        <v>260</v>
      </c>
      <c r="V74" s="339" t="s">
        <v>463</v>
      </c>
      <c r="W74" s="339" t="s">
        <v>463</v>
      </c>
      <c r="X74" s="339" t="s">
        <v>260</v>
      </c>
      <c r="Y74" s="339" t="s">
        <v>260</v>
      </c>
      <c r="Z74" s="465"/>
      <c r="AA74" s="465"/>
    </row>
    <row r="75" spans="1:27" s="342" customFormat="1" x14ac:dyDescent="0.25">
      <c r="A75" s="451"/>
      <c r="B75" s="452" t="s">
        <v>594</v>
      </c>
      <c r="C75" s="338" t="s">
        <v>599</v>
      </c>
      <c r="D75" s="455" t="str">
        <f t="shared" si="9"/>
        <v>ТП-105 - СП-121</v>
      </c>
      <c r="E75" s="338" t="str">
        <f t="shared" si="9"/>
        <v>ТП-57 - ул. Красная 89, 91</v>
      </c>
      <c r="F75" s="449">
        <v>0.23</v>
      </c>
      <c r="G75" s="339">
        <v>0.4</v>
      </c>
      <c r="H75" s="449">
        <v>0.23</v>
      </c>
      <c r="I75" s="339">
        <v>0.4</v>
      </c>
      <c r="J75" s="449" t="s">
        <v>444</v>
      </c>
      <c r="K75" s="449" t="s">
        <v>260</v>
      </c>
      <c r="L75" s="339" t="s">
        <v>260</v>
      </c>
      <c r="M75" s="449" t="s">
        <v>600</v>
      </c>
      <c r="N75" s="339" t="s">
        <v>579</v>
      </c>
      <c r="O75" s="449" t="s">
        <v>462</v>
      </c>
      <c r="P75" s="339" t="s">
        <v>462</v>
      </c>
      <c r="Q75" s="449">
        <v>0.62</v>
      </c>
      <c r="R75" s="354">
        <f>0.0915+0.06</f>
        <v>0.1515</v>
      </c>
      <c r="S75" s="449" t="s">
        <v>260</v>
      </c>
      <c r="T75" s="449" t="s">
        <v>260</v>
      </c>
      <c r="U75" s="449" t="s">
        <v>260</v>
      </c>
      <c r="V75" s="449" t="s">
        <v>463</v>
      </c>
      <c r="W75" s="339" t="s">
        <v>463</v>
      </c>
      <c r="X75" s="449" t="s">
        <v>260</v>
      </c>
      <c r="Y75" s="449" t="s">
        <v>260</v>
      </c>
      <c r="Z75" s="465"/>
      <c r="AA75" s="465"/>
    </row>
    <row r="76" spans="1:27" s="342" customFormat="1" ht="30" x14ac:dyDescent="0.25">
      <c r="A76" s="451"/>
      <c r="B76" s="453"/>
      <c r="C76" s="338" t="s">
        <v>769</v>
      </c>
      <c r="D76" s="468"/>
      <c r="E76" s="338" t="str">
        <f t="shared" si="9"/>
        <v>СП-143 - СП-1 0,4/0,23 - СП-5, ул. Красная 104-108, 110-114, 116-122</v>
      </c>
      <c r="F76" s="451"/>
      <c r="G76" s="339">
        <v>0.4</v>
      </c>
      <c r="H76" s="451"/>
      <c r="I76" s="339">
        <v>0.4</v>
      </c>
      <c r="J76" s="451"/>
      <c r="K76" s="451"/>
      <c r="L76" s="339" t="s">
        <v>260</v>
      </c>
      <c r="M76" s="451"/>
      <c r="N76" s="341" t="s">
        <v>601</v>
      </c>
      <c r="O76" s="451"/>
      <c r="P76" s="339" t="s">
        <v>462</v>
      </c>
      <c r="Q76" s="451"/>
      <c r="R76" s="354">
        <f>0.169+0.078+0.0345+0.0815+0.095</f>
        <v>0.45799999999999996</v>
      </c>
      <c r="S76" s="451"/>
      <c r="T76" s="451"/>
      <c r="U76" s="451"/>
      <c r="V76" s="451"/>
      <c r="W76" s="339" t="s">
        <v>463</v>
      </c>
      <c r="X76" s="451"/>
      <c r="Y76" s="451"/>
      <c r="Z76" s="465"/>
      <c r="AA76" s="465"/>
    </row>
    <row r="77" spans="1:27" s="342" customFormat="1" ht="30" x14ac:dyDescent="0.25">
      <c r="A77" s="450"/>
      <c r="B77" s="454"/>
      <c r="C77" s="338" t="s">
        <v>770</v>
      </c>
      <c r="D77" s="456"/>
      <c r="E77" s="338" t="str">
        <f t="shared" si="9"/>
        <v>СП-5 - ул. Красная 107, 124-126, 128-130, ул. Вернадского 1</v>
      </c>
      <c r="F77" s="450"/>
      <c r="G77" s="339">
        <v>0.4</v>
      </c>
      <c r="H77" s="450"/>
      <c r="I77" s="339">
        <v>0.4</v>
      </c>
      <c r="J77" s="450"/>
      <c r="K77" s="450"/>
      <c r="L77" s="339" t="s">
        <v>260</v>
      </c>
      <c r="M77" s="450"/>
      <c r="N77" s="341" t="s">
        <v>602</v>
      </c>
      <c r="O77" s="450"/>
      <c r="P77" s="339" t="s">
        <v>462</v>
      </c>
      <c r="Q77" s="450"/>
      <c r="R77" s="354">
        <f>0.041+0.029+0.038+0.078</f>
        <v>0.186</v>
      </c>
      <c r="S77" s="450"/>
      <c r="T77" s="450"/>
      <c r="U77" s="450"/>
      <c r="V77" s="450"/>
      <c r="W77" s="339" t="s">
        <v>463</v>
      </c>
      <c r="X77" s="450"/>
      <c r="Y77" s="450"/>
      <c r="Z77" s="465"/>
      <c r="AA77" s="465"/>
    </row>
    <row r="78" spans="1:27" s="342" customFormat="1" x14ac:dyDescent="0.25">
      <c r="A78" s="449">
        <v>13</v>
      </c>
      <c r="B78" s="338" t="s">
        <v>603</v>
      </c>
      <c r="C78" s="452" t="s">
        <v>771</v>
      </c>
      <c r="D78" s="344" t="str">
        <f t="shared" ref="D78:E79" si="10">B78</f>
        <v>ТП-519 - СП-78, К-2</v>
      </c>
      <c r="E78" s="455" t="str">
        <f t="shared" si="10"/>
        <v>ТП-519 - СП-1 0,4/0,23</v>
      </c>
      <c r="F78" s="339">
        <v>0.23</v>
      </c>
      <c r="G78" s="449">
        <v>0.4</v>
      </c>
      <c r="H78" s="339">
        <v>0.23</v>
      </c>
      <c r="I78" s="449">
        <v>0.4</v>
      </c>
      <c r="J78" s="339" t="s">
        <v>444</v>
      </c>
      <c r="K78" s="339" t="s">
        <v>260</v>
      </c>
      <c r="L78" s="449" t="s">
        <v>260</v>
      </c>
      <c r="M78" s="339" t="s">
        <v>448</v>
      </c>
      <c r="N78" s="449" t="s">
        <v>566</v>
      </c>
      <c r="O78" s="339" t="s">
        <v>462</v>
      </c>
      <c r="P78" s="449" t="s">
        <v>462</v>
      </c>
      <c r="Q78" s="339">
        <v>5.1999999999999998E-2</v>
      </c>
      <c r="R78" s="449">
        <v>5.0999999999999997E-2</v>
      </c>
      <c r="S78" s="339" t="s">
        <v>260</v>
      </c>
      <c r="T78" s="339" t="s">
        <v>260</v>
      </c>
      <c r="U78" s="339" t="s">
        <v>260</v>
      </c>
      <c r="V78" s="339" t="s">
        <v>463</v>
      </c>
      <c r="W78" s="449" t="s">
        <v>463</v>
      </c>
      <c r="X78" s="339" t="s">
        <v>260</v>
      </c>
      <c r="Y78" s="339" t="s">
        <v>260</v>
      </c>
      <c r="Z78" s="465"/>
      <c r="AA78" s="465"/>
    </row>
    <row r="79" spans="1:27" s="342" customFormat="1" x14ac:dyDescent="0.25">
      <c r="A79" s="451"/>
      <c r="B79" s="338" t="s">
        <v>604</v>
      </c>
      <c r="C79" s="454"/>
      <c r="D79" s="344" t="str">
        <f t="shared" si="10"/>
        <v>ТП-519 - СП-78, К-1</v>
      </c>
      <c r="E79" s="456"/>
      <c r="F79" s="339">
        <v>0.23</v>
      </c>
      <c r="G79" s="450"/>
      <c r="H79" s="339">
        <v>0.23</v>
      </c>
      <c r="I79" s="450"/>
      <c r="J79" s="339" t="s">
        <v>444</v>
      </c>
      <c r="K79" s="339" t="s">
        <v>260</v>
      </c>
      <c r="L79" s="450"/>
      <c r="M79" s="339" t="s">
        <v>448</v>
      </c>
      <c r="N79" s="450"/>
      <c r="O79" s="339" t="s">
        <v>462</v>
      </c>
      <c r="P79" s="450"/>
      <c r="Q79" s="339">
        <v>5.1999999999999998E-2</v>
      </c>
      <c r="R79" s="450"/>
      <c r="S79" s="339" t="s">
        <v>260</v>
      </c>
      <c r="T79" s="339" t="s">
        <v>260</v>
      </c>
      <c r="U79" s="339" t="s">
        <v>260</v>
      </c>
      <c r="V79" s="339" t="s">
        <v>463</v>
      </c>
      <c r="W79" s="450"/>
      <c r="X79" s="339" t="s">
        <v>260</v>
      </c>
      <c r="Y79" s="339" t="s">
        <v>260</v>
      </c>
      <c r="Z79" s="465"/>
      <c r="AA79" s="465"/>
    </row>
    <row r="80" spans="1:27" s="342" customFormat="1" ht="30" x14ac:dyDescent="0.25">
      <c r="A80" s="451"/>
      <c r="B80" s="338" t="s">
        <v>406</v>
      </c>
      <c r="C80" s="338" t="s">
        <v>772</v>
      </c>
      <c r="D80" s="344" t="str">
        <f>B80</f>
        <v>СП-61 - Яналова 33-35 - СП-78</v>
      </c>
      <c r="E80" s="338" t="str">
        <f>C80</f>
        <v>СП-1 0,4/0,23 - ул. Яналова 35-35а, 33/ул. Красная 61</v>
      </c>
      <c r="F80" s="339">
        <v>0.23</v>
      </c>
      <c r="G80" s="339">
        <v>0.4</v>
      </c>
      <c r="H80" s="339">
        <v>0.23</v>
      </c>
      <c r="I80" s="339">
        <v>0.4</v>
      </c>
      <c r="J80" s="339" t="s">
        <v>444</v>
      </c>
      <c r="K80" s="339" t="s">
        <v>260</v>
      </c>
      <c r="L80" s="339" t="s">
        <v>260</v>
      </c>
      <c r="M80" s="339" t="s">
        <v>447</v>
      </c>
      <c r="N80" s="339" t="s">
        <v>605</v>
      </c>
      <c r="O80" s="339" t="s">
        <v>462</v>
      </c>
      <c r="P80" s="339" t="s">
        <v>462</v>
      </c>
      <c r="Q80" s="339">
        <v>8.4000000000000005E-2</v>
      </c>
      <c r="R80" s="339">
        <f>0.043+0.087</f>
        <v>0.13</v>
      </c>
      <c r="S80" s="339" t="s">
        <v>260</v>
      </c>
      <c r="T80" s="339" t="s">
        <v>260</v>
      </c>
      <c r="U80" s="339" t="s">
        <v>260</v>
      </c>
      <c r="V80" s="339" t="s">
        <v>463</v>
      </c>
      <c r="W80" s="339" t="s">
        <v>463</v>
      </c>
      <c r="X80" s="339" t="s">
        <v>260</v>
      </c>
      <c r="Y80" s="339" t="s">
        <v>260</v>
      </c>
      <c r="Z80" s="465"/>
      <c r="AA80" s="465"/>
    </row>
    <row r="81" spans="1:27" s="355" customFormat="1" ht="30" x14ac:dyDescent="0.25">
      <c r="A81" s="451"/>
      <c r="B81" s="338" t="s">
        <v>404</v>
      </c>
      <c r="C81" s="338" t="s">
        <v>773</v>
      </c>
      <c r="D81" s="344" t="str">
        <f>B81</f>
        <v>СП-78 - Красная 64-51</v>
      </c>
      <c r="E81" s="338" t="s">
        <v>773</v>
      </c>
      <c r="F81" s="339">
        <v>0.23</v>
      </c>
      <c r="G81" s="339">
        <v>0.4</v>
      </c>
      <c r="H81" s="339">
        <v>0.23</v>
      </c>
      <c r="I81" s="339">
        <v>0.4</v>
      </c>
      <c r="J81" s="339" t="s">
        <v>444</v>
      </c>
      <c r="K81" s="339" t="s">
        <v>260</v>
      </c>
      <c r="L81" s="339" t="s">
        <v>260</v>
      </c>
      <c r="M81" s="339" t="s">
        <v>447</v>
      </c>
      <c r="N81" s="339" t="s">
        <v>605</v>
      </c>
      <c r="O81" s="339" t="s">
        <v>462</v>
      </c>
      <c r="P81" s="339" t="s">
        <v>462</v>
      </c>
      <c r="Q81" s="339">
        <v>0.12</v>
      </c>
      <c r="R81" s="339">
        <f>0.064+0.105+0.075+0.062</f>
        <v>0.30599999999999999</v>
      </c>
      <c r="S81" s="339" t="s">
        <v>260</v>
      </c>
      <c r="T81" s="339" t="s">
        <v>260</v>
      </c>
      <c r="U81" s="339" t="s">
        <v>260</v>
      </c>
      <c r="V81" s="339" t="s">
        <v>463</v>
      </c>
      <c r="W81" s="339" t="s">
        <v>463</v>
      </c>
      <c r="X81" s="339" t="s">
        <v>260</v>
      </c>
      <c r="Y81" s="339" t="s">
        <v>260</v>
      </c>
      <c r="Z81" s="465"/>
      <c r="AA81" s="465"/>
    </row>
    <row r="82" spans="1:27" s="355" customFormat="1" x14ac:dyDescent="0.25">
      <c r="A82" s="451"/>
      <c r="B82" s="338" t="s">
        <v>427</v>
      </c>
      <c r="C82" s="338" t="s">
        <v>774</v>
      </c>
      <c r="D82" s="344" t="str">
        <f>B82</f>
        <v>ТП-519 - СП-59</v>
      </c>
      <c r="E82" s="338" t="s">
        <v>774</v>
      </c>
      <c r="F82" s="339">
        <v>0.23</v>
      </c>
      <c r="G82" s="339">
        <v>0.4</v>
      </c>
      <c r="H82" s="339">
        <v>0.23</v>
      </c>
      <c r="I82" s="339">
        <v>0.4</v>
      </c>
      <c r="J82" s="339" t="s">
        <v>444</v>
      </c>
      <c r="K82" s="339" t="s">
        <v>260</v>
      </c>
      <c r="L82" s="339" t="s">
        <v>260</v>
      </c>
      <c r="M82" s="339" t="s">
        <v>445</v>
      </c>
      <c r="N82" s="339" t="s">
        <v>566</v>
      </c>
      <c r="O82" s="339" t="s">
        <v>462</v>
      </c>
      <c r="P82" s="339" t="s">
        <v>462</v>
      </c>
      <c r="Q82" s="339">
        <v>0.14000000000000001</v>
      </c>
      <c r="R82" s="339">
        <v>0.104</v>
      </c>
      <c r="S82" s="339" t="s">
        <v>260</v>
      </c>
      <c r="T82" s="339" t="s">
        <v>260</v>
      </c>
      <c r="U82" s="339" t="s">
        <v>260</v>
      </c>
      <c r="V82" s="339" t="s">
        <v>463</v>
      </c>
      <c r="W82" s="339" t="s">
        <v>463</v>
      </c>
      <c r="X82" s="339" t="s">
        <v>260</v>
      </c>
      <c r="Y82" s="339" t="s">
        <v>260</v>
      </c>
      <c r="Z82" s="465"/>
      <c r="AA82" s="465"/>
    </row>
    <row r="83" spans="1:27" s="355" customFormat="1" ht="30" x14ac:dyDescent="0.25">
      <c r="A83" s="451"/>
      <c r="B83" s="338" t="s">
        <v>423</v>
      </c>
      <c r="C83" s="338" t="s">
        <v>775</v>
      </c>
      <c r="D83" s="344" t="str">
        <f>B83</f>
        <v>СП-59 - СП-13</v>
      </c>
      <c r="E83" s="338" t="s">
        <v>775</v>
      </c>
      <c r="F83" s="339">
        <v>0.23</v>
      </c>
      <c r="G83" s="339">
        <v>0.4</v>
      </c>
      <c r="H83" s="339">
        <v>0.23</v>
      </c>
      <c r="I83" s="339">
        <v>0.4</v>
      </c>
      <c r="J83" s="339" t="s">
        <v>444</v>
      </c>
      <c r="K83" s="339" t="s">
        <v>260</v>
      </c>
      <c r="L83" s="339" t="s">
        <v>260</v>
      </c>
      <c r="M83" s="339" t="s">
        <v>448</v>
      </c>
      <c r="N83" s="339" t="s">
        <v>589</v>
      </c>
      <c r="O83" s="339" t="s">
        <v>462</v>
      </c>
      <c r="P83" s="339" t="s">
        <v>462</v>
      </c>
      <c r="Q83" s="339">
        <v>0.115</v>
      </c>
      <c r="R83" s="339">
        <f>0.101+0.092+0.078+0.096</f>
        <v>0.36699999999999999</v>
      </c>
      <c r="S83" s="339" t="s">
        <v>260</v>
      </c>
      <c r="T83" s="339" t="s">
        <v>260</v>
      </c>
      <c r="U83" s="339" t="s">
        <v>260</v>
      </c>
      <c r="V83" s="339" t="s">
        <v>463</v>
      </c>
      <c r="W83" s="339" t="s">
        <v>463</v>
      </c>
      <c r="X83" s="339" t="s">
        <v>260</v>
      </c>
      <c r="Y83" s="339" t="s">
        <v>260</v>
      </c>
      <c r="Z83" s="465"/>
      <c r="AA83" s="465"/>
    </row>
    <row r="84" spans="1:27" s="355" customFormat="1" ht="30" x14ac:dyDescent="0.25">
      <c r="A84" s="451"/>
      <c r="B84" s="338" t="s">
        <v>415</v>
      </c>
      <c r="C84" s="338" t="s">
        <v>776</v>
      </c>
      <c r="D84" s="344" t="str">
        <f>B84</f>
        <v xml:space="preserve">СП-121 - СП-59 </v>
      </c>
      <c r="E84" s="338" t="s">
        <v>776</v>
      </c>
      <c r="F84" s="339">
        <v>0.23</v>
      </c>
      <c r="G84" s="339">
        <v>0.4</v>
      </c>
      <c r="H84" s="339">
        <v>0.23</v>
      </c>
      <c r="I84" s="339">
        <v>0.4</v>
      </c>
      <c r="J84" s="339" t="s">
        <v>444</v>
      </c>
      <c r="K84" s="339" t="s">
        <v>260</v>
      </c>
      <c r="L84" s="339" t="s">
        <v>260</v>
      </c>
      <c r="M84" s="339" t="s">
        <v>447</v>
      </c>
      <c r="N84" s="339" t="s">
        <v>562</v>
      </c>
      <c r="O84" s="339" t="s">
        <v>462</v>
      </c>
      <c r="P84" s="339" t="s">
        <v>462</v>
      </c>
      <c r="Q84" s="339">
        <v>0.3</v>
      </c>
      <c r="R84" s="339">
        <f>0.098+0.081+0.071+0.043+0.05</f>
        <v>0.34299999999999997</v>
      </c>
      <c r="S84" s="339" t="s">
        <v>260</v>
      </c>
      <c r="T84" s="339" t="s">
        <v>260</v>
      </c>
      <c r="U84" s="339" t="s">
        <v>260</v>
      </c>
      <c r="V84" s="339" t="s">
        <v>463</v>
      </c>
      <c r="W84" s="339" t="s">
        <v>463</v>
      </c>
      <c r="X84" s="339" t="s">
        <v>260</v>
      </c>
      <c r="Y84" s="339" t="s">
        <v>260</v>
      </c>
      <c r="Z84" s="465"/>
      <c r="AA84" s="465"/>
    </row>
    <row r="85" spans="1:27" s="355" customFormat="1" ht="30" x14ac:dyDescent="0.25">
      <c r="A85" s="450"/>
      <c r="B85" s="338" t="s">
        <v>417</v>
      </c>
      <c r="C85" s="338" t="s">
        <v>777</v>
      </c>
      <c r="D85" s="344" t="str">
        <f t="shared" ref="D85" si="11">B85</f>
        <v>СП-12 - Родител.15,13,10-6 ,Щорса 18</v>
      </c>
      <c r="E85" s="338" t="s">
        <v>777</v>
      </c>
      <c r="F85" s="339">
        <v>0.23</v>
      </c>
      <c r="G85" s="339">
        <v>0.4</v>
      </c>
      <c r="H85" s="339">
        <v>0.23</v>
      </c>
      <c r="I85" s="339">
        <v>0.4</v>
      </c>
      <c r="J85" s="339" t="s">
        <v>444</v>
      </c>
      <c r="K85" s="339" t="s">
        <v>260</v>
      </c>
      <c r="L85" s="339" t="s">
        <v>260</v>
      </c>
      <c r="M85" s="339" t="s">
        <v>447</v>
      </c>
      <c r="N85" s="341" t="s">
        <v>778</v>
      </c>
      <c r="O85" s="339" t="s">
        <v>462</v>
      </c>
      <c r="P85" s="339" t="s">
        <v>462</v>
      </c>
      <c r="Q85" s="339">
        <v>0.46</v>
      </c>
      <c r="R85" s="339">
        <f>0.109+0.029+0.097+0.099</f>
        <v>0.33400000000000002</v>
      </c>
      <c r="S85" s="339">
        <f>SUM(R78:R85)</f>
        <v>1.635</v>
      </c>
      <c r="T85" s="339" t="s">
        <v>260</v>
      </c>
      <c r="U85" s="339" t="s">
        <v>260</v>
      </c>
      <c r="V85" s="339" t="s">
        <v>463</v>
      </c>
      <c r="W85" s="339" t="s">
        <v>463</v>
      </c>
      <c r="X85" s="339" t="s">
        <v>260</v>
      </c>
      <c r="Y85" s="339" t="s">
        <v>260</v>
      </c>
      <c r="Z85" s="465"/>
      <c r="AA85" s="465"/>
    </row>
    <row r="86" spans="1:27" x14ac:dyDescent="0.25">
      <c r="A86" s="339">
        <v>14</v>
      </c>
      <c r="B86" s="338" t="s">
        <v>429</v>
      </c>
      <c r="C86" s="338" t="s">
        <v>779</v>
      </c>
      <c r="D86" s="344" t="str">
        <f>B86</f>
        <v>РП-6 - Яналова 12-6</v>
      </c>
      <c r="E86" s="344" t="str">
        <f>C86</f>
        <v>СП-1 - ул. Л. Яналова 10, 6, 4</v>
      </c>
      <c r="F86" s="339">
        <v>0.23</v>
      </c>
      <c r="G86" s="339">
        <v>0.4</v>
      </c>
      <c r="H86" s="339">
        <v>0.23</v>
      </c>
      <c r="I86" s="339">
        <v>0.4</v>
      </c>
      <c r="J86" s="339" t="s">
        <v>444</v>
      </c>
      <c r="K86" s="339" t="s">
        <v>260</v>
      </c>
      <c r="L86" s="339" t="s">
        <v>260</v>
      </c>
      <c r="M86" s="339" t="s">
        <v>453</v>
      </c>
      <c r="N86" s="339" t="s">
        <v>591</v>
      </c>
      <c r="O86" s="339" t="s">
        <v>462</v>
      </c>
      <c r="P86" s="339" t="s">
        <v>462</v>
      </c>
      <c r="Q86" s="339">
        <v>0.375</v>
      </c>
      <c r="R86" s="339">
        <f>0.096+0.048+0.068</f>
        <v>0.21200000000000002</v>
      </c>
      <c r="S86" s="339" t="s">
        <v>260</v>
      </c>
      <c r="T86" s="339" t="s">
        <v>260</v>
      </c>
      <c r="U86" s="339" t="s">
        <v>260</v>
      </c>
      <c r="V86" s="339" t="s">
        <v>463</v>
      </c>
      <c r="W86" s="339" t="s">
        <v>463</v>
      </c>
      <c r="X86" s="339" t="s">
        <v>260</v>
      </c>
      <c r="Y86" s="339" t="s">
        <v>260</v>
      </c>
      <c r="Z86" s="465"/>
      <c r="AA86" s="465"/>
    </row>
    <row r="87" spans="1:27" s="342" customFormat="1" x14ac:dyDescent="0.25">
      <c r="A87" s="449">
        <v>15</v>
      </c>
      <c r="B87" s="338" t="s">
        <v>422</v>
      </c>
      <c r="C87" s="338" t="s">
        <v>422</v>
      </c>
      <c r="D87" s="344" t="str">
        <f>B87</f>
        <v>ТП-505 - Яналова 15</v>
      </c>
      <c r="E87" s="344" t="str">
        <f>C87</f>
        <v>ТП-505 - Яналова 15</v>
      </c>
      <c r="F87" s="339">
        <v>0.23</v>
      </c>
      <c r="G87" s="339">
        <v>0.4</v>
      </c>
      <c r="H87" s="339">
        <v>0.23</v>
      </c>
      <c r="I87" s="339">
        <v>0.4</v>
      </c>
      <c r="J87" s="339" t="s">
        <v>444</v>
      </c>
      <c r="K87" s="339" t="s">
        <v>260</v>
      </c>
      <c r="L87" s="339" t="s">
        <v>260</v>
      </c>
      <c r="M87" s="339" t="s">
        <v>455</v>
      </c>
      <c r="N87" s="339" t="s">
        <v>562</v>
      </c>
      <c r="O87" s="339" t="s">
        <v>462</v>
      </c>
      <c r="P87" s="339" t="s">
        <v>462</v>
      </c>
      <c r="Q87" s="339">
        <v>5.5E-2</v>
      </c>
      <c r="R87" s="339">
        <v>7.0000000000000007E-2</v>
      </c>
      <c r="S87" s="339" t="s">
        <v>260</v>
      </c>
      <c r="T87" s="339" t="s">
        <v>260</v>
      </c>
      <c r="U87" s="339" t="s">
        <v>260</v>
      </c>
      <c r="V87" s="339" t="s">
        <v>463</v>
      </c>
      <c r="W87" s="339" t="s">
        <v>463</v>
      </c>
      <c r="X87" s="339" t="s">
        <v>260</v>
      </c>
      <c r="Y87" s="339" t="s">
        <v>260</v>
      </c>
      <c r="Z87" s="465"/>
      <c r="AA87" s="465"/>
    </row>
    <row r="88" spans="1:27" s="355" customFormat="1" ht="30" x14ac:dyDescent="0.25">
      <c r="A88" s="451"/>
      <c r="B88" s="338" t="s">
        <v>409</v>
      </c>
      <c r="C88" s="338" t="s">
        <v>606</v>
      </c>
      <c r="D88" s="338" t="s">
        <v>409</v>
      </c>
      <c r="E88" s="344" t="str">
        <f>C88</f>
        <v>ТП-505 - Яналова 17</v>
      </c>
      <c r="F88" s="339">
        <v>0.23</v>
      </c>
      <c r="G88" s="339">
        <v>0.4</v>
      </c>
      <c r="H88" s="339">
        <v>0.23</v>
      </c>
      <c r="I88" s="339">
        <v>0.4</v>
      </c>
      <c r="J88" s="339" t="s">
        <v>444</v>
      </c>
      <c r="K88" s="339" t="s">
        <v>260</v>
      </c>
      <c r="L88" s="339" t="s">
        <v>260</v>
      </c>
      <c r="M88" s="339" t="s">
        <v>452</v>
      </c>
      <c r="N88" s="339" t="s">
        <v>579</v>
      </c>
      <c r="O88" s="339" t="s">
        <v>462</v>
      </c>
      <c r="P88" s="339" t="s">
        <v>462</v>
      </c>
      <c r="Q88" s="339">
        <v>0.39</v>
      </c>
      <c r="R88" s="339">
        <v>0.13</v>
      </c>
      <c r="S88" s="339" t="s">
        <v>260</v>
      </c>
      <c r="T88" s="339" t="s">
        <v>260</v>
      </c>
      <c r="U88" s="339" t="s">
        <v>260</v>
      </c>
      <c r="V88" s="339" t="s">
        <v>463</v>
      </c>
      <c r="W88" s="339" t="s">
        <v>463</v>
      </c>
      <c r="X88" s="339" t="s">
        <v>260</v>
      </c>
      <c r="Y88" s="339" t="s">
        <v>260</v>
      </c>
      <c r="Z88" s="465"/>
      <c r="AA88" s="465"/>
    </row>
    <row r="89" spans="1:27" s="355" customFormat="1" ht="30" x14ac:dyDescent="0.25">
      <c r="A89" s="451"/>
      <c r="B89" s="338" t="s">
        <v>413</v>
      </c>
      <c r="C89" s="338" t="s">
        <v>780</v>
      </c>
      <c r="D89" s="344" t="str">
        <f>B89</f>
        <v>СП-13 - Щорса, 8-4, 7,5</v>
      </c>
      <c r="E89" s="338" t="s">
        <v>607</v>
      </c>
      <c r="F89" s="339">
        <v>0.23</v>
      </c>
      <c r="G89" s="339">
        <v>0.4</v>
      </c>
      <c r="H89" s="339">
        <v>0.23</v>
      </c>
      <c r="I89" s="339">
        <v>0.4</v>
      </c>
      <c r="J89" s="339" t="s">
        <v>444</v>
      </c>
      <c r="K89" s="339" t="s">
        <v>260</v>
      </c>
      <c r="L89" s="339" t="s">
        <v>260</v>
      </c>
      <c r="M89" s="339" t="s">
        <v>448</v>
      </c>
      <c r="N89" s="341" t="s">
        <v>608</v>
      </c>
      <c r="O89" s="339" t="s">
        <v>462</v>
      </c>
      <c r="P89" s="339" t="s">
        <v>462</v>
      </c>
      <c r="Q89" s="339">
        <v>0.13</v>
      </c>
      <c r="R89" s="339">
        <f>0.125+0.05+0.045+0.055+0.06+0.115+0.085</f>
        <v>0.53499999999999992</v>
      </c>
      <c r="S89" s="339" t="s">
        <v>260</v>
      </c>
      <c r="T89" s="339" t="s">
        <v>260</v>
      </c>
      <c r="U89" s="339" t="s">
        <v>260</v>
      </c>
      <c r="V89" s="339" t="s">
        <v>463</v>
      </c>
      <c r="W89" s="339" t="s">
        <v>463</v>
      </c>
      <c r="X89" s="339" t="s">
        <v>260</v>
      </c>
      <c r="Y89" s="339" t="s">
        <v>260</v>
      </c>
      <c r="Z89" s="465"/>
      <c r="AA89" s="465"/>
    </row>
    <row r="90" spans="1:27" s="342" customFormat="1" ht="30" x14ac:dyDescent="0.25">
      <c r="A90" s="450"/>
      <c r="B90" s="338" t="s">
        <v>609</v>
      </c>
      <c r="C90" s="338" t="s">
        <v>781</v>
      </c>
      <c r="D90" s="338" t="s">
        <v>609</v>
      </c>
      <c r="E90" s="338" t="s">
        <v>610</v>
      </c>
      <c r="F90" s="339">
        <v>0.23</v>
      </c>
      <c r="G90" s="339">
        <v>0.4</v>
      </c>
      <c r="H90" s="339">
        <v>0.23</v>
      </c>
      <c r="I90" s="339">
        <v>0.4</v>
      </c>
      <c r="J90" s="339" t="s">
        <v>444</v>
      </c>
      <c r="K90" s="339" t="s">
        <v>260</v>
      </c>
      <c r="L90" s="339" t="s">
        <v>260</v>
      </c>
      <c r="M90" s="339" t="s">
        <v>445</v>
      </c>
      <c r="N90" s="341" t="s">
        <v>582</v>
      </c>
      <c r="O90" s="339" t="s">
        <v>462</v>
      </c>
      <c r="P90" s="339" t="s">
        <v>462</v>
      </c>
      <c r="Q90" s="339">
        <v>0.13</v>
      </c>
      <c r="R90" s="339">
        <f>0.2+0.04+0.021+0.035+0.06+0.08</f>
        <v>0.43600000000000005</v>
      </c>
      <c r="S90" s="339" t="s">
        <v>260</v>
      </c>
      <c r="T90" s="339" t="s">
        <v>260</v>
      </c>
      <c r="U90" s="339" t="s">
        <v>260</v>
      </c>
      <c r="V90" s="339" t="s">
        <v>463</v>
      </c>
      <c r="W90" s="339" t="s">
        <v>463</v>
      </c>
      <c r="X90" s="339" t="s">
        <v>260</v>
      </c>
      <c r="Y90" s="339" t="s">
        <v>260</v>
      </c>
      <c r="Z90" s="465"/>
      <c r="AA90" s="465"/>
    </row>
    <row r="91" spans="1:27" s="342" customFormat="1" x14ac:dyDescent="0.25">
      <c r="A91" s="449">
        <v>16</v>
      </c>
      <c r="B91" s="338" t="s">
        <v>611</v>
      </c>
      <c r="C91" s="338" t="s">
        <v>612</v>
      </c>
      <c r="D91" s="338" t="s">
        <v>611</v>
      </c>
      <c r="E91" s="338" t="s">
        <v>612</v>
      </c>
      <c r="F91" s="339">
        <v>0.23</v>
      </c>
      <c r="G91" s="339">
        <v>0.4</v>
      </c>
      <c r="H91" s="339">
        <v>0.23</v>
      </c>
      <c r="I91" s="339">
        <v>0.4</v>
      </c>
      <c r="J91" s="339" t="s">
        <v>444</v>
      </c>
      <c r="K91" s="339" t="s">
        <v>260</v>
      </c>
      <c r="L91" s="339" t="s">
        <v>260</v>
      </c>
      <c r="M91" s="339" t="s">
        <v>445</v>
      </c>
      <c r="N91" s="341" t="s">
        <v>579</v>
      </c>
      <c r="O91" s="339" t="s">
        <v>462</v>
      </c>
      <c r="P91" s="339" t="s">
        <v>462</v>
      </c>
      <c r="Q91" s="339">
        <v>0.125</v>
      </c>
      <c r="R91" s="339">
        <v>0.125</v>
      </c>
      <c r="S91" s="339" t="s">
        <v>260</v>
      </c>
      <c r="T91" s="339" t="s">
        <v>260</v>
      </c>
      <c r="U91" s="339" t="s">
        <v>260</v>
      </c>
      <c r="V91" s="339" t="s">
        <v>463</v>
      </c>
      <c r="W91" s="339" t="s">
        <v>463</v>
      </c>
      <c r="X91" s="339" t="s">
        <v>260</v>
      </c>
      <c r="Y91" s="339" t="s">
        <v>260</v>
      </c>
      <c r="Z91" s="465"/>
      <c r="AA91" s="465"/>
    </row>
    <row r="92" spans="1:27" s="355" customFormat="1" ht="30" x14ac:dyDescent="0.25">
      <c r="A92" s="451"/>
      <c r="B92" s="338" t="s">
        <v>441</v>
      </c>
      <c r="C92" s="338" t="s">
        <v>782</v>
      </c>
      <c r="D92" s="338" t="s">
        <v>441</v>
      </c>
      <c r="E92" s="338" t="str">
        <f>C92</f>
        <v>ТП-535 - СП-1 - ул. Комсомольская 53-55</v>
      </c>
      <c r="F92" s="339">
        <v>0.23</v>
      </c>
      <c r="G92" s="339">
        <v>0.4</v>
      </c>
      <c r="H92" s="339">
        <v>0.23</v>
      </c>
      <c r="I92" s="339">
        <v>0.4</v>
      </c>
      <c r="J92" s="339" t="s">
        <v>444</v>
      </c>
      <c r="K92" s="339" t="s">
        <v>260</v>
      </c>
      <c r="L92" s="339" t="s">
        <v>260</v>
      </c>
      <c r="M92" s="339" t="s">
        <v>448</v>
      </c>
      <c r="N92" s="341" t="s">
        <v>613</v>
      </c>
      <c r="O92" s="339" t="s">
        <v>462</v>
      </c>
      <c r="P92" s="339" t="s">
        <v>462</v>
      </c>
      <c r="Q92" s="339">
        <v>4.4999999999999998E-2</v>
      </c>
      <c r="R92" s="339">
        <f>0.195+0.115</f>
        <v>0.31</v>
      </c>
      <c r="S92" s="339" t="s">
        <v>260</v>
      </c>
      <c r="T92" s="339" t="s">
        <v>260</v>
      </c>
      <c r="U92" s="339" t="s">
        <v>260</v>
      </c>
      <c r="V92" s="339" t="s">
        <v>463</v>
      </c>
      <c r="W92" s="339" t="s">
        <v>463</v>
      </c>
      <c r="X92" s="339" t="s">
        <v>260</v>
      </c>
      <c r="Y92" s="339" t="s">
        <v>260</v>
      </c>
      <c r="Z92" s="465"/>
      <c r="AA92" s="465"/>
    </row>
    <row r="93" spans="1:27" s="342" customFormat="1" x14ac:dyDescent="0.25">
      <c r="A93" s="451"/>
      <c r="B93" s="338" t="s">
        <v>614</v>
      </c>
      <c r="C93" s="338" t="s">
        <v>783</v>
      </c>
      <c r="D93" s="338" t="s">
        <v>614</v>
      </c>
      <c r="E93" s="338" t="str">
        <f>C93</f>
        <v>СП-1 - ул. Комсомольская 47, 46-52</v>
      </c>
      <c r="F93" s="339">
        <v>0.23</v>
      </c>
      <c r="G93" s="339">
        <v>0.4</v>
      </c>
      <c r="H93" s="339">
        <v>0.23</v>
      </c>
      <c r="I93" s="339">
        <v>0.4</v>
      </c>
      <c r="J93" s="339" t="s">
        <v>444</v>
      </c>
      <c r="K93" s="339" t="s">
        <v>260</v>
      </c>
      <c r="L93" s="339" t="s">
        <v>260</v>
      </c>
      <c r="M93" s="339" t="s">
        <v>448</v>
      </c>
      <c r="N93" s="339" t="s">
        <v>615</v>
      </c>
      <c r="O93" s="339" t="s">
        <v>462</v>
      </c>
      <c r="P93" s="339" t="s">
        <v>462</v>
      </c>
      <c r="Q93" s="339">
        <v>0.22</v>
      </c>
      <c r="R93" s="339">
        <f>0.077+0.045</f>
        <v>0.122</v>
      </c>
      <c r="S93" s="339" t="s">
        <v>260</v>
      </c>
      <c r="T93" s="339" t="s">
        <v>260</v>
      </c>
      <c r="U93" s="339" t="s">
        <v>260</v>
      </c>
      <c r="V93" s="339" t="s">
        <v>463</v>
      </c>
      <c r="W93" s="339" t="s">
        <v>463</v>
      </c>
      <c r="X93" s="339" t="s">
        <v>260</v>
      </c>
      <c r="Y93" s="339" t="s">
        <v>260</v>
      </c>
      <c r="Z93" s="465"/>
      <c r="AA93" s="465"/>
    </row>
    <row r="94" spans="1:27" s="355" customFormat="1" ht="30" x14ac:dyDescent="0.25">
      <c r="A94" s="451"/>
      <c r="B94" s="338" t="s">
        <v>410</v>
      </c>
      <c r="C94" s="338" t="s">
        <v>784</v>
      </c>
      <c r="D94" s="344" t="str">
        <f>B94</f>
        <v>СП-21 - Красная 50-56</v>
      </c>
      <c r="E94" s="338" t="str">
        <f>C94</f>
        <v>ТП-535 - СП-2 0,4/0,23 - ул. Красная 50-52, 54-56</v>
      </c>
      <c r="F94" s="339">
        <v>0.23</v>
      </c>
      <c r="G94" s="339">
        <v>0.4</v>
      </c>
      <c r="H94" s="339">
        <v>0.23</v>
      </c>
      <c r="I94" s="339">
        <v>0.4</v>
      </c>
      <c r="J94" s="339" t="s">
        <v>444</v>
      </c>
      <c r="K94" s="339" t="s">
        <v>260</v>
      </c>
      <c r="L94" s="339" t="s">
        <v>260</v>
      </c>
      <c r="M94" s="339" t="s">
        <v>448</v>
      </c>
      <c r="N94" s="341" t="s">
        <v>616</v>
      </c>
      <c r="O94" s="339" t="s">
        <v>462</v>
      </c>
      <c r="P94" s="339" t="s">
        <v>462</v>
      </c>
      <c r="Q94" s="339">
        <v>0.126</v>
      </c>
      <c r="R94" s="339">
        <f>0.165+0.03+0.075</f>
        <v>0.27</v>
      </c>
      <c r="S94" s="339" t="s">
        <v>260</v>
      </c>
      <c r="T94" s="339" t="s">
        <v>260</v>
      </c>
      <c r="U94" s="339" t="s">
        <v>260</v>
      </c>
      <c r="V94" s="339" t="s">
        <v>463</v>
      </c>
      <c r="W94" s="339" t="s">
        <v>463</v>
      </c>
      <c r="X94" s="339" t="s">
        <v>260</v>
      </c>
      <c r="Y94" s="339" t="s">
        <v>260</v>
      </c>
      <c r="Z94" s="465"/>
      <c r="AA94" s="465"/>
    </row>
    <row r="95" spans="1:27" s="355" customFormat="1" ht="30" x14ac:dyDescent="0.25">
      <c r="A95" s="451"/>
      <c r="B95" s="338" t="s">
        <v>408</v>
      </c>
      <c r="C95" s="452" t="s">
        <v>785</v>
      </c>
      <c r="D95" s="338" t="s">
        <v>408</v>
      </c>
      <c r="E95" s="452" t="str">
        <f>C95</f>
        <v>СП-2 0,4/0,23 - ул. Красная 47, 49, 51-53, ул. Чернышевского 30-32, СП</v>
      </c>
      <c r="F95" s="339">
        <v>0.23</v>
      </c>
      <c r="G95" s="449">
        <v>0.4</v>
      </c>
      <c r="H95" s="339">
        <v>0.23</v>
      </c>
      <c r="I95" s="449">
        <v>0.4</v>
      </c>
      <c r="J95" s="339" t="s">
        <v>444</v>
      </c>
      <c r="K95" s="339" t="s">
        <v>260</v>
      </c>
      <c r="L95" s="449" t="s">
        <v>260</v>
      </c>
      <c r="M95" s="339" t="s">
        <v>450</v>
      </c>
      <c r="N95" s="464" t="s">
        <v>786</v>
      </c>
      <c r="O95" s="339" t="s">
        <v>462</v>
      </c>
      <c r="P95" s="449" t="s">
        <v>462</v>
      </c>
      <c r="Q95" s="339">
        <v>0.4</v>
      </c>
      <c r="R95" s="449">
        <f>0.055+0.08+0.1+0.12+0.18</f>
        <v>0.53499999999999992</v>
      </c>
      <c r="S95" s="339" t="s">
        <v>260</v>
      </c>
      <c r="T95" s="339" t="s">
        <v>260</v>
      </c>
      <c r="U95" s="339" t="s">
        <v>260</v>
      </c>
      <c r="V95" s="339" t="s">
        <v>463</v>
      </c>
      <c r="W95" s="449" t="s">
        <v>463</v>
      </c>
      <c r="X95" s="339" t="s">
        <v>260</v>
      </c>
      <c r="Y95" s="339" t="s">
        <v>260</v>
      </c>
      <c r="Z95" s="465"/>
      <c r="AA95" s="465"/>
    </row>
    <row r="96" spans="1:27" s="355" customFormat="1" x14ac:dyDescent="0.25">
      <c r="A96" s="451"/>
      <c r="B96" s="338" t="s">
        <v>404</v>
      </c>
      <c r="C96" s="453"/>
      <c r="D96" s="344" t="str">
        <f t="shared" ref="D96:D97" si="12">B96</f>
        <v>СП-78 - Красная 64-51</v>
      </c>
      <c r="E96" s="453"/>
      <c r="F96" s="339">
        <v>0.23</v>
      </c>
      <c r="G96" s="451"/>
      <c r="H96" s="339">
        <v>0.23</v>
      </c>
      <c r="I96" s="451"/>
      <c r="J96" s="339" t="s">
        <v>444</v>
      </c>
      <c r="K96" s="339" t="s">
        <v>260</v>
      </c>
      <c r="L96" s="451"/>
      <c r="M96" s="339" t="s">
        <v>447</v>
      </c>
      <c r="N96" s="451"/>
      <c r="O96" s="339" t="s">
        <v>462</v>
      </c>
      <c r="P96" s="451"/>
      <c r="Q96" s="339">
        <v>0.12</v>
      </c>
      <c r="R96" s="451"/>
      <c r="S96" s="339" t="s">
        <v>260</v>
      </c>
      <c r="T96" s="339" t="s">
        <v>260</v>
      </c>
      <c r="U96" s="339" t="s">
        <v>260</v>
      </c>
      <c r="V96" s="339" t="s">
        <v>463</v>
      </c>
      <c r="W96" s="451"/>
      <c r="X96" s="339" t="s">
        <v>260</v>
      </c>
      <c r="Y96" s="339" t="s">
        <v>260</v>
      </c>
      <c r="Z96" s="465"/>
      <c r="AA96" s="465"/>
    </row>
    <row r="97" spans="1:27" s="355" customFormat="1" x14ac:dyDescent="0.25">
      <c r="A97" s="451"/>
      <c r="B97" s="343" t="s">
        <v>438</v>
      </c>
      <c r="C97" s="454"/>
      <c r="D97" s="344" t="str">
        <f t="shared" si="12"/>
        <v>СП-44 - Чернышевского 32 - СП-21</v>
      </c>
      <c r="E97" s="454"/>
      <c r="F97" s="339">
        <v>0.23</v>
      </c>
      <c r="G97" s="450"/>
      <c r="H97" s="339">
        <v>0.23</v>
      </c>
      <c r="I97" s="450"/>
      <c r="J97" s="339" t="s">
        <v>444</v>
      </c>
      <c r="K97" s="339" t="s">
        <v>260</v>
      </c>
      <c r="L97" s="450"/>
      <c r="M97" s="339" t="s">
        <v>459</v>
      </c>
      <c r="N97" s="450"/>
      <c r="O97" s="339" t="s">
        <v>462</v>
      </c>
      <c r="P97" s="450"/>
      <c r="Q97" s="339">
        <v>0.23</v>
      </c>
      <c r="R97" s="450"/>
      <c r="S97" s="339" t="s">
        <v>260</v>
      </c>
      <c r="T97" s="339" t="s">
        <v>260</v>
      </c>
      <c r="U97" s="339" t="s">
        <v>260</v>
      </c>
      <c r="V97" s="339" t="s">
        <v>463</v>
      </c>
      <c r="W97" s="450"/>
      <c r="X97" s="339" t="s">
        <v>260</v>
      </c>
      <c r="Y97" s="339" t="s">
        <v>260</v>
      </c>
      <c r="Z97" s="465"/>
      <c r="AA97" s="465"/>
    </row>
    <row r="98" spans="1:27" s="356" customFormat="1" x14ac:dyDescent="0.25">
      <c r="A98" s="451"/>
      <c r="B98" s="343" t="s">
        <v>420</v>
      </c>
      <c r="C98" s="452" t="s">
        <v>787</v>
      </c>
      <c r="D98" s="344" t="str">
        <f>B98</f>
        <v>СП-21 - Чернышевского,17-25,31</v>
      </c>
      <c r="E98" s="452" t="str">
        <f>C98</f>
        <v>СП-2 0,4/0,23 - СП-3 - ул. Чернышевского 17-19, 21, 23, 25, ул. Красная 43, 45</v>
      </c>
      <c r="F98" s="339">
        <v>0.23</v>
      </c>
      <c r="G98" s="449">
        <v>0.4</v>
      </c>
      <c r="H98" s="339">
        <v>0.23</v>
      </c>
      <c r="I98" s="449">
        <v>0.4</v>
      </c>
      <c r="J98" s="339" t="s">
        <v>444</v>
      </c>
      <c r="K98" s="339" t="s">
        <v>260</v>
      </c>
      <c r="L98" s="449" t="s">
        <v>260</v>
      </c>
      <c r="M98" s="339" t="s">
        <v>448</v>
      </c>
      <c r="N98" s="464" t="s">
        <v>617</v>
      </c>
      <c r="O98" s="339" t="s">
        <v>462</v>
      </c>
      <c r="P98" s="449" t="s">
        <v>462</v>
      </c>
      <c r="Q98" s="339">
        <v>0.35</v>
      </c>
      <c r="R98" s="449">
        <f>0.11+0.06+0.045+0.025+0.055+0.105+0.12</f>
        <v>0.52</v>
      </c>
      <c r="S98" s="339" t="s">
        <v>260</v>
      </c>
      <c r="T98" s="339" t="s">
        <v>260</v>
      </c>
      <c r="U98" s="339" t="s">
        <v>260</v>
      </c>
      <c r="V98" s="339" t="s">
        <v>463</v>
      </c>
      <c r="W98" s="449" t="s">
        <v>463</v>
      </c>
      <c r="X98" s="339" t="s">
        <v>260</v>
      </c>
      <c r="Y98" s="339" t="s">
        <v>260</v>
      </c>
      <c r="Z98" s="465"/>
      <c r="AA98" s="465"/>
    </row>
    <row r="99" spans="1:27" s="356" customFormat="1" ht="30" x14ac:dyDescent="0.25">
      <c r="A99" s="450"/>
      <c r="B99" s="343" t="s">
        <v>408</v>
      </c>
      <c r="C99" s="454"/>
      <c r="D99" s="338" t="s">
        <v>408</v>
      </c>
      <c r="E99" s="454"/>
      <c r="F99" s="339">
        <v>0.23</v>
      </c>
      <c r="G99" s="450"/>
      <c r="H99" s="339">
        <v>0.23</v>
      </c>
      <c r="I99" s="450"/>
      <c r="J99" s="339" t="s">
        <v>444</v>
      </c>
      <c r="K99" s="339" t="s">
        <v>260</v>
      </c>
      <c r="L99" s="450"/>
      <c r="M99" s="339" t="s">
        <v>450</v>
      </c>
      <c r="N99" s="450"/>
      <c r="O99" s="339" t="s">
        <v>462</v>
      </c>
      <c r="P99" s="450"/>
      <c r="Q99" s="339">
        <v>0.4</v>
      </c>
      <c r="R99" s="450"/>
      <c r="S99" s="339" t="s">
        <v>260</v>
      </c>
      <c r="T99" s="339" t="s">
        <v>260</v>
      </c>
      <c r="U99" s="339" t="s">
        <v>260</v>
      </c>
      <c r="V99" s="339" t="s">
        <v>463</v>
      </c>
      <c r="W99" s="450"/>
      <c r="X99" s="339" t="s">
        <v>260</v>
      </c>
      <c r="Y99" s="339" t="s">
        <v>260</v>
      </c>
      <c r="Z99" s="465"/>
      <c r="AA99" s="465"/>
    </row>
    <row r="100" spans="1:27" s="357" customFormat="1" ht="45" x14ac:dyDescent="0.25">
      <c r="A100" s="339">
        <v>17</v>
      </c>
      <c r="B100" s="338" t="s">
        <v>433</v>
      </c>
      <c r="C100" s="338" t="s">
        <v>788</v>
      </c>
      <c r="D100" s="344" t="str">
        <f t="shared" ref="D100:E107" si="13">B100</f>
        <v>ТП-555 - Спортивная 20-22,1-7</v>
      </c>
      <c r="E100" s="338" t="str">
        <f>C100</f>
        <v>СП-1014 - СП 0,4/0,23 - ул. Спортивная 1, 3, 5, 7, 20, 22</v>
      </c>
      <c r="F100" s="339">
        <v>0.23</v>
      </c>
      <c r="G100" s="339">
        <v>0.4</v>
      </c>
      <c r="H100" s="339">
        <v>0.23</v>
      </c>
      <c r="I100" s="339">
        <v>0.4</v>
      </c>
      <c r="J100" s="339" t="s">
        <v>444</v>
      </c>
      <c r="K100" s="339" t="s">
        <v>260</v>
      </c>
      <c r="L100" s="339" t="s">
        <v>260</v>
      </c>
      <c r="M100" s="339" t="s">
        <v>448</v>
      </c>
      <c r="N100" s="341" t="s">
        <v>540</v>
      </c>
      <c r="O100" s="339" t="s">
        <v>462</v>
      </c>
      <c r="P100" s="339" t="s">
        <v>462</v>
      </c>
      <c r="Q100" s="339">
        <v>0.60299999999999998</v>
      </c>
      <c r="R100" s="341">
        <f>0.071+0.176+0.121+0.097+0.05+0.037+0.051</f>
        <v>0.60300000000000009</v>
      </c>
      <c r="S100" s="339" t="s">
        <v>260</v>
      </c>
      <c r="T100" s="339" t="s">
        <v>260</v>
      </c>
      <c r="U100" s="339" t="s">
        <v>260</v>
      </c>
      <c r="V100" s="339" t="s">
        <v>463</v>
      </c>
      <c r="W100" s="341" t="s">
        <v>463</v>
      </c>
      <c r="X100" s="339" t="s">
        <v>260</v>
      </c>
      <c r="Y100" s="339" t="s">
        <v>260</v>
      </c>
      <c r="Z100" s="465"/>
      <c r="AA100" s="465"/>
    </row>
    <row r="101" spans="1:27" s="355" customFormat="1" ht="30" x14ac:dyDescent="0.25">
      <c r="A101" s="449">
        <v>18</v>
      </c>
      <c r="B101" s="452" t="s">
        <v>412</v>
      </c>
      <c r="C101" s="338" t="s">
        <v>789</v>
      </c>
      <c r="D101" s="358" t="str">
        <f t="shared" si="13"/>
        <v>СП-294 - В.Котик,12,9-15 - СП-293</v>
      </c>
      <c r="E101" s="338" t="str">
        <f t="shared" si="13"/>
        <v>ТП-537 - СП-1 0,4/0,23 - ул. В. Котика 1-5, СП-3</v>
      </c>
      <c r="F101" s="449">
        <v>0.23</v>
      </c>
      <c r="G101" s="339">
        <v>0.4</v>
      </c>
      <c r="H101" s="449">
        <v>0.23</v>
      </c>
      <c r="I101" s="339">
        <v>0.4</v>
      </c>
      <c r="J101" s="449" t="s">
        <v>444</v>
      </c>
      <c r="K101" s="449" t="s">
        <v>260</v>
      </c>
      <c r="L101" s="339" t="s">
        <v>260</v>
      </c>
      <c r="M101" s="449" t="s">
        <v>454</v>
      </c>
      <c r="N101" s="341" t="s">
        <v>601</v>
      </c>
      <c r="O101" s="449" t="s">
        <v>462</v>
      </c>
      <c r="P101" s="339" t="s">
        <v>462</v>
      </c>
      <c r="Q101" s="449">
        <v>0.22</v>
      </c>
      <c r="R101" s="339">
        <f>0.057+0.173+0.082</f>
        <v>0.312</v>
      </c>
      <c r="S101" s="449" t="s">
        <v>260</v>
      </c>
      <c r="T101" s="449" t="s">
        <v>260</v>
      </c>
      <c r="U101" s="449" t="s">
        <v>260</v>
      </c>
      <c r="V101" s="449" t="s">
        <v>463</v>
      </c>
      <c r="W101" s="339" t="s">
        <v>463</v>
      </c>
      <c r="X101" s="449" t="s">
        <v>260</v>
      </c>
      <c r="Y101" s="449" t="s">
        <v>260</v>
      </c>
      <c r="Z101" s="465"/>
      <c r="AA101" s="465"/>
    </row>
    <row r="102" spans="1:27" s="355" customFormat="1" ht="30" x14ac:dyDescent="0.25">
      <c r="A102" s="451"/>
      <c r="B102" s="454"/>
      <c r="C102" s="338" t="s">
        <v>790</v>
      </c>
      <c r="D102" s="359"/>
      <c r="E102" s="338" t="str">
        <f t="shared" si="13"/>
        <v>СП-3 - СП-293, ул В. Котика 7-11, 13-17, 12</v>
      </c>
      <c r="F102" s="450"/>
      <c r="G102" s="339">
        <v>0.4</v>
      </c>
      <c r="H102" s="450"/>
      <c r="I102" s="339">
        <v>0.4</v>
      </c>
      <c r="J102" s="450"/>
      <c r="K102" s="450"/>
      <c r="L102" s="339" t="s">
        <v>260</v>
      </c>
      <c r="M102" s="450"/>
      <c r="N102" s="341" t="s">
        <v>581</v>
      </c>
      <c r="O102" s="450"/>
      <c r="P102" s="339" t="s">
        <v>462</v>
      </c>
      <c r="Q102" s="450"/>
      <c r="R102" s="339">
        <f>0.073+0.044+0.082+0.02</f>
        <v>0.219</v>
      </c>
      <c r="S102" s="450"/>
      <c r="T102" s="450"/>
      <c r="U102" s="450"/>
      <c r="V102" s="450"/>
      <c r="W102" s="339" t="s">
        <v>463</v>
      </c>
      <c r="X102" s="450"/>
      <c r="Y102" s="450"/>
      <c r="Z102" s="465"/>
      <c r="AA102" s="465"/>
    </row>
    <row r="103" spans="1:27" s="355" customFormat="1" ht="30" x14ac:dyDescent="0.25">
      <c r="A103" s="451"/>
      <c r="B103" s="452" t="s">
        <v>439</v>
      </c>
      <c r="C103" s="338" t="s">
        <v>791</v>
      </c>
      <c r="D103" s="455" t="str">
        <f t="shared" ref="D103" si="14">B103</f>
        <v>СП-294 - Маяковская.9 - СП-44</v>
      </c>
      <c r="E103" s="338" t="str">
        <f t="shared" si="13"/>
        <v>СП-1 0,4/0,23 - СП-2, ул. Маяковского 7, 9-11</v>
      </c>
      <c r="F103" s="449">
        <v>0.23</v>
      </c>
      <c r="G103" s="339">
        <v>0.4</v>
      </c>
      <c r="H103" s="449">
        <v>0.23</v>
      </c>
      <c r="I103" s="339">
        <v>0.4</v>
      </c>
      <c r="J103" s="449" t="s">
        <v>444</v>
      </c>
      <c r="K103" s="449" t="s">
        <v>260</v>
      </c>
      <c r="L103" s="339" t="s">
        <v>260</v>
      </c>
      <c r="M103" s="449" t="s">
        <v>451</v>
      </c>
      <c r="N103" s="341" t="s">
        <v>619</v>
      </c>
      <c r="O103" s="449" t="s">
        <v>462</v>
      </c>
      <c r="P103" s="339" t="s">
        <v>462</v>
      </c>
      <c r="Q103" s="449">
        <v>0.161</v>
      </c>
      <c r="R103" s="339">
        <f>0.082+0.049+0.05</f>
        <v>0.18099999999999999</v>
      </c>
      <c r="S103" s="449" t="s">
        <v>260</v>
      </c>
      <c r="T103" s="449" t="s">
        <v>260</v>
      </c>
      <c r="U103" s="449" t="s">
        <v>260</v>
      </c>
      <c r="V103" s="449" t="s">
        <v>463</v>
      </c>
      <c r="W103" s="339" t="s">
        <v>463</v>
      </c>
      <c r="X103" s="449" t="s">
        <v>260</v>
      </c>
      <c r="Y103" s="449" t="s">
        <v>260</v>
      </c>
      <c r="Z103" s="465"/>
      <c r="AA103" s="465"/>
    </row>
    <row r="104" spans="1:27" s="355" customFormat="1" x14ac:dyDescent="0.25">
      <c r="A104" s="451"/>
      <c r="B104" s="454"/>
      <c r="C104" s="338" t="s">
        <v>792</v>
      </c>
      <c r="D104" s="456"/>
      <c r="E104" s="338" t="str">
        <f t="shared" si="13"/>
        <v>СП-2 - ул. Маяковского 1, 3, 5</v>
      </c>
      <c r="F104" s="450"/>
      <c r="G104" s="339">
        <v>0.4</v>
      </c>
      <c r="H104" s="450"/>
      <c r="I104" s="339">
        <v>0.4</v>
      </c>
      <c r="J104" s="450"/>
      <c r="K104" s="450"/>
      <c r="L104" s="339" t="s">
        <v>260</v>
      </c>
      <c r="M104" s="450"/>
      <c r="N104" s="339" t="s">
        <v>562</v>
      </c>
      <c r="O104" s="450"/>
      <c r="P104" s="339" t="s">
        <v>462</v>
      </c>
      <c r="Q104" s="450"/>
      <c r="R104" s="339">
        <f>0.025+0.017+0.031</f>
        <v>7.3000000000000009E-2</v>
      </c>
      <c r="S104" s="450"/>
      <c r="T104" s="450"/>
      <c r="U104" s="450"/>
      <c r="V104" s="450"/>
      <c r="W104" s="339" t="s">
        <v>463</v>
      </c>
      <c r="X104" s="450"/>
      <c r="Y104" s="450"/>
      <c r="Z104" s="465"/>
      <c r="AA104" s="465"/>
    </row>
    <row r="105" spans="1:27" s="355" customFormat="1" ht="30" x14ac:dyDescent="0.25">
      <c r="A105" s="451"/>
      <c r="B105" s="338" t="s">
        <v>438</v>
      </c>
      <c r="C105" s="338" t="s">
        <v>793</v>
      </c>
      <c r="D105" s="344" t="str">
        <f>B105</f>
        <v>СП-44 - Чернышевского 32 - СП-21</v>
      </c>
      <c r="E105" s="338" t="str">
        <f t="shared" si="13"/>
        <v>СП-1 0,4/0,23 - СП-4 - ул. Маяковского 2, 4, 6, 8, 10</v>
      </c>
      <c r="F105" s="339">
        <v>0.23</v>
      </c>
      <c r="G105" s="339">
        <v>0.4</v>
      </c>
      <c r="H105" s="339">
        <v>0.23</v>
      </c>
      <c r="I105" s="339">
        <v>0.4</v>
      </c>
      <c r="J105" s="339" t="s">
        <v>444</v>
      </c>
      <c r="K105" s="339" t="s">
        <v>260</v>
      </c>
      <c r="L105" s="339" t="s">
        <v>260</v>
      </c>
      <c r="M105" s="339" t="s">
        <v>446</v>
      </c>
      <c r="N105" s="341" t="s">
        <v>620</v>
      </c>
      <c r="O105" s="339" t="s">
        <v>462</v>
      </c>
      <c r="P105" s="339" t="s">
        <v>462</v>
      </c>
      <c r="Q105" s="339">
        <v>0.28999999999999998</v>
      </c>
      <c r="R105" s="339">
        <f>0.081+0.091+0.071+0.055+0.02+0.045</f>
        <v>0.36299999999999999</v>
      </c>
      <c r="S105" s="339" t="s">
        <v>260</v>
      </c>
      <c r="T105" s="339" t="s">
        <v>260</v>
      </c>
      <c r="U105" s="339" t="s">
        <v>260</v>
      </c>
      <c r="V105" s="339" t="s">
        <v>463</v>
      </c>
      <c r="W105" s="339" t="s">
        <v>463</v>
      </c>
      <c r="X105" s="339" t="s">
        <v>260</v>
      </c>
      <c r="Y105" s="339" t="s">
        <v>260</v>
      </c>
      <c r="Z105" s="465"/>
      <c r="AA105" s="465"/>
    </row>
    <row r="106" spans="1:27" s="355" customFormat="1" ht="30" x14ac:dyDescent="0.25">
      <c r="A106" s="450"/>
      <c r="B106" s="338" t="s">
        <v>618</v>
      </c>
      <c r="C106" s="338" t="s">
        <v>794</v>
      </c>
      <c r="D106" s="344" t="str">
        <f t="shared" ref="D106" si="15">B106</f>
        <v>СП-61 - Маяковского 8-16 - СП-44</v>
      </c>
      <c r="E106" s="338" t="str">
        <f t="shared" si="13"/>
        <v>СП-1 0,4/0,23 - СП-5 - ул. Маяковского 12, 14, 16, 18</v>
      </c>
      <c r="F106" s="339">
        <v>0.23</v>
      </c>
      <c r="G106" s="339">
        <v>0.4</v>
      </c>
      <c r="H106" s="339">
        <v>0.23</v>
      </c>
      <c r="I106" s="339">
        <v>0.4</v>
      </c>
      <c r="J106" s="339" t="s">
        <v>444</v>
      </c>
      <c r="K106" s="339" t="s">
        <v>260</v>
      </c>
      <c r="L106" s="339" t="s">
        <v>260</v>
      </c>
      <c r="M106" s="339" t="s">
        <v>459</v>
      </c>
      <c r="N106" s="339" t="s">
        <v>621</v>
      </c>
      <c r="O106" s="339" t="s">
        <v>462</v>
      </c>
      <c r="P106" s="339" t="s">
        <v>462</v>
      </c>
      <c r="Q106" s="339">
        <v>0.23</v>
      </c>
      <c r="R106" s="339">
        <f>0.093+0.026+0.045+0.087+0.045</f>
        <v>0.29599999999999999</v>
      </c>
      <c r="S106" s="339">
        <f>SUM(R101:R106)</f>
        <v>1.444</v>
      </c>
      <c r="T106" s="339" t="s">
        <v>260</v>
      </c>
      <c r="U106" s="339" t="s">
        <v>260</v>
      </c>
      <c r="V106" s="339" t="s">
        <v>463</v>
      </c>
      <c r="W106" s="339" t="s">
        <v>463</v>
      </c>
      <c r="X106" s="339" t="s">
        <v>260</v>
      </c>
      <c r="Y106" s="339" t="s">
        <v>260</v>
      </c>
      <c r="Z106" s="465"/>
      <c r="AA106" s="465"/>
    </row>
    <row r="107" spans="1:27" s="357" customFormat="1" ht="30" x14ac:dyDescent="0.25">
      <c r="A107" s="449">
        <v>19</v>
      </c>
      <c r="B107" s="338" t="s">
        <v>437</v>
      </c>
      <c r="C107" s="338" t="s">
        <v>795</v>
      </c>
      <c r="D107" s="338" t="s">
        <v>437</v>
      </c>
      <c r="E107" s="338" t="str">
        <f t="shared" si="13"/>
        <v>ТП-112 - СП 0,4/0,23 - ул. Леонова 59-61а, 61б-61г, ул. Молочинского 5-7</v>
      </c>
      <c r="F107" s="339">
        <v>0.23</v>
      </c>
      <c r="G107" s="339">
        <v>0.4</v>
      </c>
      <c r="H107" s="339">
        <v>0.23</v>
      </c>
      <c r="I107" s="339">
        <v>0.4</v>
      </c>
      <c r="J107" s="339" t="s">
        <v>444</v>
      </c>
      <c r="K107" s="339" t="s">
        <v>260</v>
      </c>
      <c r="L107" s="339" t="s">
        <v>260</v>
      </c>
      <c r="M107" s="339" t="s">
        <v>446</v>
      </c>
      <c r="N107" s="341" t="s">
        <v>622</v>
      </c>
      <c r="O107" s="339" t="s">
        <v>462</v>
      </c>
      <c r="P107" s="339" t="s">
        <v>462</v>
      </c>
      <c r="Q107" s="339">
        <v>0.18</v>
      </c>
      <c r="R107" s="339">
        <f>0.017+0.041+0.121+0.152</f>
        <v>0.33099999999999996</v>
      </c>
      <c r="S107" s="339" t="s">
        <v>260</v>
      </c>
      <c r="T107" s="339" t="s">
        <v>260</v>
      </c>
      <c r="U107" s="339" t="s">
        <v>260</v>
      </c>
      <c r="V107" s="339" t="s">
        <v>463</v>
      </c>
      <c r="W107" s="339" t="s">
        <v>463</v>
      </c>
      <c r="X107" s="339" t="s">
        <v>260</v>
      </c>
      <c r="Y107" s="339" t="s">
        <v>260</v>
      </c>
      <c r="Z107" s="465"/>
      <c r="AA107" s="465"/>
    </row>
    <row r="108" spans="1:27" s="357" customFormat="1" ht="30" x14ac:dyDescent="0.25">
      <c r="A108" s="450"/>
      <c r="B108" s="338" t="s">
        <v>436</v>
      </c>
      <c r="C108" s="338" t="s">
        <v>623</v>
      </c>
      <c r="D108" s="344" t="str">
        <f>B108</f>
        <v>СП-1301 - Леонова 61-71</v>
      </c>
      <c r="E108" s="338" t="s">
        <v>623</v>
      </c>
      <c r="F108" s="339">
        <v>0.23</v>
      </c>
      <c r="G108" s="339">
        <v>0.4</v>
      </c>
      <c r="H108" s="339">
        <v>0.23</v>
      </c>
      <c r="I108" s="339">
        <v>0.4</v>
      </c>
      <c r="J108" s="339" t="s">
        <v>444</v>
      </c>
      <c r="K108" s="339" t="s">
        <v>260</v>
      </c>
      <c r="L108" s="339" t="s">
        <v>260</v>
      </c>
      <c r="M108" s="339" t="s">
        <v>446</v>
      </c>
      <c r="N108" s="339" t="s">
        <v>624</v>
      </c>
      <c r="O108" s="339" t="s">
        <v>462</v>
      </c>
      <c r="P108" s="339" t="s">
        <v>462</v>
      </c>
      <c r="Q108" s="339">
        <v>0.24</v>
      </c>
      <c r="R108" s="339">
        <f>0.187+0.154+0.103</f>
        <v>0.44399999999999995</v>
      </c>
      <c r="S108" s="339" t="s">
        <v>260</v>
      </c>
      <c r="T108" s="339" t="s">
        <v>260</v>
      </c>
      <c r="U108" s="339" t="s">
        <v>260</v>
      </c>
      <c r="V108" s="339" t="s">
        <v>463</v>
      </c>
      <c r="W108" s="339" t="s">
        <v>463</v>
      </c>
      <c r="X108" s="339" t="s">
        <v>260</v>
      </c>
      <c r="Y108" s="339" t="s">
        <v>260</v>
      </c>
      <c r="Z108" s="465"/>
      <c r="AA108" s="465"/>
    </row>
    <row r="109" spans="1:27" s="355" customFormat="1" ht="45" x14ac:dyDescent="0.25">
      <c r="A109" s="449">
        <v>20</v>
      </c>
      <c r="B109" s="452" t="s">
        <v>435</v>
      </c>
      <c r="C109" s="338" t="s">
        <v>796</v>
      </c>
      <c r="D109" s="455" t="str">
        <f t="shared" ref="D109:E115" si="16">B109</f>
        <v>ТП-55 - Банковская 15-1</v>
      </c>
      <c r="E109" s="338" t="str">
        <f t="shared" si="16"/>
        <v>ТП-54 - СП-1 0,4/0,23 - Школа №1, котельная школы №1, СП-4, СП-5, СП-6, СП-7, ул. Банковская 15</v>
      </c>
      <c r="F109" s="449">
        <v>0.23</v>
      </c>
      <c r="G109" s="339">
        <v>0.4</v>
      </c>
      <c r="H109" s="449">
        <v>0.23</v>
      </c>
      <c r="I109" s="339">
        <v>0.4</v>
      </c>
      <c r="J109" s="449" t="s">
        <v>444</v>
      </c>
      <c r="K109" s="449" t="s">
        <v>260</v>
      </c>
      <c r="L109" s="339" t="s">
        <v>260</v>
      </c>
      <c r="M109" s="449" t="s">
        <v>447</v>
      </c>
      <c r="N109" s="341" t="s">
        <v>643</v>
      </c>
      <c r="O109" s="449" t="s">
        <v>462</v>
      </c>
      <c r="P109" s="339" t="s">
        <v>462</v>
      </c>
      <c r="Q109" s="449">
        <v>0.31</v>
      </c>
      <c r="R109" s="339">
        <f>0.184*2+0.028+0.078+0.063+0.137+0.143+0.157+0.157</f>
        <v>1.131</v>
      </c>
      <c r="S109" s="449" t="s">
        <v>260</v>
      </c>
      <c r="T109" s="449" t="s">
        <v>260</v>
      </c>
      <c r="U109" s="449" t="s">
        <v>260</v>
      </c>
      <c r="V109" s="449" t="s">
        <v>463</v>
      </c>
      <c r="W109" s="339" t="s">
        <v>463</v>
      </c>
      <c r="X109" s="449" t="s">
        <v>260</v>
      </c>
      <c r="Y109" s="449" t="s">
        <v>260</v>
      </c>
      <c r="Z109" s="465"/>
      <c r="AA109" s="465"/>
    </row>
    <row r="110" spans="1:27" s="355" customFormat="1" x14ac:dyDescent="0.25">
      <c r="A110" s="451"/>
      <c r="B110" s="453"/>
      <c r="C110" s="338" t="s">
        <v>797</v>
      </c>
      <c r="D110" s="468"/>
      <c r="E110" s="338" t="str">
        <f t="shared" si="16"/>
        <v>СП-5 - ул. Банковская 3, 5, 7, 9, 11, 13</v>
      </c>
      <c r="F110" s="451"/>
      <c r="G110" s="339">
        <v>0.4</v>
      </c>
      <c r="H110" s="451"/>
      <c r="I110" s="339">
        <v>0.4</v>
      </c>
      <c r="J110" s="451"/>
      <c r="K110" s="451"/>
      <c r="L110" s="339" t="s">
        <v>260</v>
      </c>
      <c r="M110" s="451"/>
      <c r="N110" s="339" t="s">
        <v>562</v>
      </c>
      <c r="O110" s="451"/>
      <c r="P110" s="339" t="s">
        <v>462</v>
      </c>
      <c r="Q110" s="451"/>
      <c r="R110" s="339">
        <f>0.062+0.048+0.028+0.044+0.061+0.077</f>
        <v>0.32</v>
      </c>
      <c r="S110" s="451"/>
      <c r="T110" s="451"/>
      <c r="U110" s="451"/>
      <c r="V110" s="451"/>
      <c r="W110" s="339" t="s">
        <v>463</v>
      </c>
      <c r="X110" s="451"/>
      <c r="Y110" s="451"/>
      <c r="Z110" s="465"/>
      <c r="AA110" s="465"/>
    </row>
    <row r="111" spans="1:27" s="342" customFormat="1" x14ac:dyDescent="0.25">
      <c r="A111" s="451"/>
      <c r="B111" s="454"/>
      <c r="C111" s="338" t="s">
        <v>798</v>
      </c>
      <c r="D111" s="456"/>
      <c r="E111" s="338" t="str">
        <f t="shared" si="16"/>
        <v>СП-6 - ул. Банковская 1, 1а</v>
      </c>
      <c r="F111" s="450"/>
      <c r="G111" s="339">
        <v>0.4</v>
      </c>
      <c r="H111" s="450"/>
      <c r="I111" s="339">
        <v>0.4</v>
      </c>
      <c r="J111" s="450"/>
      <c r="K111" s="450"/>
      <c r="L111" s="339" t="s">
        <v>260</v>
      </c>
      <c r="M111" s="450"/>
      <c r="N111" s="339" t="s">
        <v>562</v>
      </c>
      <c r="O111" s="450"/>
      <c r="P111" s="339" t="s">
        <v>462</v>
      </c>
      <c r="Q111" s="450"/>
      <c r="R111" s="339">
        <f>0.021+0.042</f>
        <v>6.3E-2</v>
      </c>
      <c r="S111" s="450"/>
      <c r="T111" s="450"/>
      <c r="U111" s="450"/>
      <c r="V111" s="450"/>
      <c r="W111" s="339" t="s">
        <v>463</v>
      </c>
      <c r="X111" s="450"/>
      <c r="Y111" s="450"/>
      <c r="Z111" s="465"/>
      <c r="AA111" s="465"/>
    </row>
    <row r="112" spans="1:27" s="355" customFormat="1" ht="30" x14ac:dyDescent="0.25">
      <c r="A112" s="451"/>
      <c r="B112" s="452" t="s">
        <v>419</v>
      </c>
      <c r="C112" s="338" t="s">
        <v>799</v>
      </c>
      <c r="D112" s="455" t="str">
        <f t="shared" ref="D112" si="17">B112</f>
        <v>ТП-55 - Кропоткина 3-9, Яналова 37-47</v>
      </c>
      <c r="E112" s="338" t="str">
        <f t="shared" si="16"/>
        <v>СП-7 - СП-8, ул. Кропоткина 5, 7, 9</v>
      </c>
      <c r="F112" s="449">
        <v>0.23</v>
      </c>
      <c r="G112" s="339">
        <v>0.4</v>
      </c>
      <c r="H112" s="449">
        <v>0.23</v>
      </c>
      <c r="I112" s="339">
        <v>0.4</v>
      </c>
      <c r="J112" s="449" t="s">
        <v>444</v>
      </c>
      <c r="K112" s="449" t="s">
        <v>260</v>
      </c>
      <c r="L112" s="339" t="s">
        <v>260</v>
      </c>
      <c r="M112" s="449" t="s">
        <v>448</v>
      </c>
      <c r="N112" s="341" t="s">
        <v>582</v>
      </c>
      <c r="O112" s="449" t="s">
        <v>462</v>
      </c>
      <c r="P112" s="339" t="s">
        <v>462</v>
      </c>
      <c r="Q112" s="449">
        <v>0.31</v>
      </c>
      <c r="R112" s="339">
        <f>0.146+0.056+0.043+0.055</f>
        <v>0.3</v>
      </c>
      <c r="S112" s="449" t="s">
        <v>260</v>
      </c>
      <c r="T112" s="449" t="s">
        <v>260</v>
      </c>
      <c r="U112" s="449" t="s">
        <v>260</v>
      </c>
      <c r="V112" s="449" t="s">
        <v>463</v>
      </c>
      <c r="W112" s="339" t="s">
        <v>463</v>
      </c>
      <c r="X112" s="449" t="s">
        <v>260</v>
      </c>
      <c r="Y112" s="449" t="s">
        <v>260</v>
      </c>
      <c r="Z112" s="465"/>
      <c r="AA112" s="465"/>
    </row>
    <row r="113" spans="1:27" s="342" customFormat="1" ht="30" x14ac:dyDescent="0.25">
      <c r="A113" s="451"/>
      <c r="B113" s="454"/>
      <c r="C113" s="338" t="s">
        <v>800</v>
      </c>
      <c r="D113" s="456"/>
      <c r="E113" s="338" t="str">
        <f t="shared" si="16"/>
        <v>СП-8 - ул. Л. Яналова 37, 39, 41, 43, 45, 47</v>
      </c>
      <c r="F113" s="450"/>
      <c r="G113" s="339">
        <v>0.4</v>
      </c>
      <c r="H113" s="450"/>
      <c r="I113" s="339">
        <v>0.4</v>
      </c>
      <c r="J113" s="450"/>
      <c r="K113" s="450"/>
      <c r="L113" s="339" t="s">
        <v>260</v>
      </c>
      <c r="M113" s="450"/>
      <c r="N113" s="339" t="s">
        <v>562</v>
      </c>
      <c r="O113" s="450"/>
      <c r="P113" s="339" t="s">
        <v>462</v>
      </c>
      <c r="Q113" s="450"/>
      <c r="R113" s="339">
        <f>0.084+0.07+0.038+0.059+0.083+0.113</f>
        <v>0.44700000000000001</v>
      </c>
      <c r="S113" s="450"/>
      <c r="T113" s="450"/>
      <c r="U113" s="450"/>
      <c r="V113" s="450"/>
      <c r="W113" s="339" t="s">
        <v>463</v>
      </c>
      <c r="X113" s="450"/>
      <c r="Y113" s="450"/>
      <c r="Z113" s="465"/>
      <c r="AA113" s="465"/>
    </row>
    <row r="114" spans="1:27" s="355" customFormat="1" ht="30" x14ac:dyDescent="0.25">
      <c r="A114" s="451"/>
      <c r="B114" s="338" t="s">
        <v>440</v>
      </c>
      <c r="C114" s="338" t="s">
        <v>801</v>
      </c>
      <c r="D114" s="344" t="str">
        <f t="shared" ref="D114" si="18">B114</f>
        <v>ТП-55 - Кропоткина 6-2</v>
      </c>
      <c r="E114" s="338" t="str">
        <f t="shared" si="16"/>
        <v>СП-4 0,4/0,23 - СП, ул. Кропоткина 2, 4, 6</v>
      </c>
      <c r="F114" s="339">
        <v>0.23</v>
      </c>
      <c r="G114" s="339">
        <v>0.4</v>
      </c>
      <c r="H114" s="339">
        <v>0.23</v>
      </c>
      <c r="I114" s="339">
        <v>0.4</v>
      </c>
      <c r="J114" s="339" t="s">
        <v>444</v>
      </c>
      <c r="K114" s="339" t="s">
        <v>260</v>
      </c>
      <c r="L114" s="339" t="s">
        <v>260</v>
      </c>
      <c r="M114" s="339" t="s">
        <v>447</v>
      </c>
      <c r="N114" s="341" t="s">
        <v>582</v>
      </c>
      <c r="O114" s="339" t="s">
        <v>462</v>
      </c>
      <c r="P114" s="339" t="s">
        <v>462</v>
      </c>
      <c r="Q114" s="339">
        <v>0.17499999999999999</v>
      </c>
      <c r="R114" s="339">
        <f>0.074+0.025+0.041+0.042</f>
        <v>0.18200000000000002</v>
      </c>
      <c r="S114" s="339" t="s">
        <v>260</v>
      </c>
      <c r="T114" s="339" t="s">
        <v>260</v>
      </c>
      <c r="U114" s="339" t="s">
        <v>260</v>
      </c>
      <c r="V114" s="339" t="s">
        <v>463</v>
      </c>
      <c r="W114" s="339" t="s">
        <v>463</v>
      </c>
      <c r="X114" s="339" t="s">
        <v>260</v>
      </c>
      <c r="Y114" s="339" t="s">
        <v>260</v>
      </c>
      <c r="Z114" s="465"/>
      <c r="AA114" s="465"/>
    </row>
    <row r="115" spans="1:27" s="355" customFormat="1" x14ac:dyDescent="0.25">
      <c r="A115" s="451"/>
      <c r="B115" s="338" t="s">
        <v>443</v>
      </c>
      <c r="C115" s="452" t="s">
        <v>802</v>
      </c>
      <c r="D115" s="344" t="str">
        <f>B115</f>
        <v xml:space="preserve">СП-85 - Банковская 17 </v>
      </c>
      <c r="E115" s="452" t="str">
        <f t="shared" si="16"/>
        <v>ТП-54 - СП-2 0,4/0,23 - СП-11 - ул. Коммунальная 45-49, 51-53, 55-57, 59, 61-63, СП-293</v>
      </c>
      <c r="F115" s="339">
        <v>0.23</v>
      </c>
      <c r="G115" s="449">
        <v>0.4</v>
      </c>
      <c r="H115" s="339">
        <v>0.23</v>
      </c>
      <c r="I115" s="449">
        <v>0.4</v>
      </c>
      <c r="J115" s="339" t="s">
        <v>444</v>
      </c>
      <c r="K115" s="339" t="s">
        <v>260</v>
      </c>
      <c r="L115" s="449" t="s">
        <v>260</v>
      </c>
      <c r="M115" s="339" t="s">
        <v>460</v>
      </c>
      <c r="N115" s="464" t="s">
        <v>601</v>
      </c>
      <c r="O115" s="339" t="s">
        <v>462</v>
      </c>
      <c r="P115" s="449" t="s">
        <v>462</v>
      </c>
      <c r="Q115" s="339">
        <v>8.0000000000000002E-3</v>
      </c>
      <c r="R115" s="449">
        <f>0.017+0.092+0.09+0.052+0.026+0.063+0.116+0.1</f>
        <v>0.55600000000000005</v>
      </c>
      <c r="S115" s="339" t="s">
        <v>260</v>
      </c>
      <c r="T115" s="339" t="s">
        <v>260</v>
      </c>
      <c r="U115" s="339" t="s">
        <v>260</v>
      </c>
      <c r="V115" s="339" t="s">
        <v>463</v>
      </c>
      <c r="W115" s="449" t="s">
        <v>463</v>
      </c>
      <c r="X115" s="339" t="s">
        <v>260</v>
      </c>
      <c r="Y115" s="339" t="s">
        <v>260</v>
      </c>
      <c r="Z115" s="465"/>
      <c r="AA115" s="465"/>
    </row>
    <row r="116" spans="1:27" s="355" customFormat="1" ht="30" x14ac:dyDescent="0.25">
      <c r="A116" s="451"/>
      <c r="B116" s="338" t="s">
        <v>416</v>
      </c>
      <c r="C116" s="454"/>
      <c r="D116" s="344" t="str">
        <f t="shared" ref="D116:D117" si="19">B116</f>
        <v>ТП-54 - Коммунальная 54/СП-293/СП-18</v>
      </c>
      <c r="E116" s="454"/>
      <c r="F116" s="339">
        <v>0.23</v>
      </c>
      <c r="G116" s="450"/>
      <c r="H116" s="339">
        <v>0.23</v>
      </c>
      <c r="I116" s="450"/>
      <c r="J116" s="339" t="s">
        <v>444</v>
      </c>
      <c r="K116" s="339" t="s">
        <v>260</v>
      </c>
      <c r="L116" s="450"/>
      <c r="M116" s="339" t="s">
        <v>448</v>
      </c>
      <c r="N116" s="450"/>
      <c r="O116" s="339" t="s">
        <v>462</v>
      </c>
      <c r="P116" s="450"/>
      <c r="Q116" s="339">
        <v>0.38</v>
      </c>
      <c r="R116" s="450"/>
      <c r="S116" s="339" t="s">
        <v>260</v>
      </c>
      <c r="T116" s="339" t="s">
        <v>260</v>
      </c>
      <c r="U116" s="339" t="s">
        <v>260</v>
      </c>
      <c r="V116" s="339" t="s">
        <v>463</v>
      </c>
      <c r="W116" s="450"/>
      <c r="X116" s="339" t="s">
        <v>260</v>
      </c>
      <c r="Y116" s="339" t="s">
        <v>260</v>
      </c>
      <c r="Z116" s="465"/>
      <c r="AA116" s="465"/>
    </row>
    <row r="117" spans="1:27" s="355" customFormat="1" ht="30" x14ac:dyDescent="0.25">
      <c r="A117" s="451"/>
      <c r="B117" s="452" t="s">
        <v>428</v>
      </c>
      <c r="C117" s="338" t="s">
        <v>803</v>
      </c>
      <c r="D117" s="455" t="str">
        <f t="shared" si="19"/>
        <v>ТП-54 - СП-85   Банковская 17</v>
      </c>
      <c r="E117" s="338" t="str">
        <f>C117</f>
        <v>СП-2 0,4/0,23 - СП-12 - ул. Банковская 17-19, 21-23, ул. Чернышевского, 14</v>
      </c>
      <c r="F117" s="449">
        <v>0.23</v>
      </c>
      <c r="G117" s="339">
        <v>0.4</v>
      </c>
      <c r="H117" s="449">
        <v>0.23</v>
      </c>
      <c r="I117" s="339">
        <v>0.4</v>
      </c>
      <c r="J117" s="449" t="s">
        <v>444</v>
      </c>
      <c r="K117" s="449" t="s">
        <v>260</v>
      </c>
      <c r="L117" s="339" t="s">
        <v>260</v>
      </c>
      <c r="M117" s="449" t="s">
        <v>445</v>
      </c>
      <c r="N117" s="341" t="s">
        <v>582</v>
      </c>
      <c r="O117" s="449" t="s">
        <v>462</v>
      </c>
      <c r="P117" s="339" t="s">
        <v>462</v>
      </c>
      <c r="Q117" s="449">
        <v>0.14299999999999999</v>
      </c>
      <c r="R117" s="339">
        <f>0.09+0.073+0.057+0.086</f>
        <v>0.30599999999999994</v>
      </c>
      <c r="S117" s="449" t="s">
        <v>260</v>
      </c>
      <c r="T117" s="449" t="s">
        <v>260</v>
      </c>
      <c r="U117" s="449" t="s">
        <v>260</v>
      </c>
      <c r="V117" s="449" t="s">
        <v>463</v>
      </c>
      <c r="W117" s="339" t="s">
        <v>463</v>
      </c>
      <c r="X117" s="449" t="s">
        <v>260</v>
      </c>
      <c r="Y117" s="449" t="s">
        <v>260</v>
      </c>
      <c r="Z117" s="465"/>
      <c r="AA117" s="465"/>
    </row>
    <row r="118" spans="1:27" s="355" customFormat="1" ht="30" x14ac:dyDescent="0.25">
      <c r="A118" s="451"/>
      <c r="B118" s="454"/>
      <c r="C118" s="338" t="s">
        <v>804</v>
      </c>
      <c r="D118" s="456"/>
      <c r="E118" s="338" t="str">
        <f>C118</f>
        <v>СП-12 - СП-13 - ул. Чернышевского 6, 8, 10</v>
      </c>
      <c r="F118" s="450"/>
      <c r="G118" s="339">
        <v>0.4</v>
      </c>
      <c r="H118" s="450"/>
      <c r="I118" s="339">
        <v>0.4</v>
      </c>
      <c r="J118" s="450"/>
      <c r="K118" s="450"/>
      <c r="L118" s="339" t="s">
        <v>260</v>
      </c>
      <c r="M118" s="450"/>
      <c r="N118" s="341" t="s">
        <v>601</v>
      </c>
      <c r="O118" s="450"/>
      <c r="P118" s="339" t="s">
        <v>462</v>
      </c>
      <c r="Q118" s="450"/>
      <c r="R118" s="339">
        <f xml:space="preserve"> 0.145+0.019+0.06+0.08</f>
        <v>0.30399999999999999</v>
      </c>
      <c r="S118" s="450"/>
      <c r="T118" s="450"/>
      <c r="U118" s="450"/>
      <c r="V118" s="450"/>
      <c r="W118" s="339" t="s">
        <v>463</v>
      </c>
      <c r="X118" s="450"/>
      <c r="Y118" s="450"/>
      <c r="Z118" s="465"/>
      <c r="AA118" s="465"/>
    </row>
    <row r="119" spans="1:27" s="355" customFormat="1" ht="60" x14ac:dyDescent="0.25">
      <c r="A119" s="451"/>
      <c r="B119" s="471" t="s">
        <v>403</v>
      </c>
      <c r="C119" s="338" t="s">
        <v>805</v>
      </c>
      <c r="D119" s="449" t="str">
        <f t="shared" ref="D119:D121" si="20">B119</f>
        <v>ТП-54 - Коммунальная 56-68,67-117</v>
      </c>
      <c r="E119" s="338" t="str">
        <f>C119</f>
        <v>ТП-54- СП-3 0,4/0,23 - СП-10, ул. Коммунальная 62, 64, 66, 68, 67-93, 95-105</v>
      </c>
      <c r="F119" s="449">
        <v>0.23</v>
      </c>
      <c r="G119" s="339">
        <v>0.4</v>
      </c>
      <c r="H119" s="449">
        <v>0.23</v>
      </c>
      <c r="I119" s="339">
        <v>0.4</v>
      </c>
      <c r="J119" s="449" t="s">
        <v>444</v>
      </c>
      <c r="K119" s="449" t="s">
        <v>260</v>
      </c>
      <c r="L119" s="339" t="s">
        <v>260</v>
      </c>
      <c r="M119" s="449" t="s">
        <v>445</v>
      </c>
      <c r="N119" s="341" t="s">
        <v>645</v>
      </c>
      <c r="O119" s="449" t="s">
        <v>462</v>
      </c>
      <c r="P119" s="339" t="s">
        <v>462</v>
      </c>
      <c r="Q119" s="449">
        <v>0.42</v>
      </c>
      <c r="R119" s="339">
        <f>0.202+0.036+0.142+0.06+0.046+0.061+0.068+0.086</f>
        <v>0.70099999999999996</v>
      </c>
      <c r="S119" s="339" t="s">
        <v>260</v>
      </c>
      <c r="T119" s="339" t="s">
        <v>260</v>
      </c>
      <c r="U119" s="339" t="s">
        <v>260</v>
      </c>
      <c r="V119" s="339" t="s">
        <v>463</v>
      </c>
      <c r="W119" s="339" t="s">
        <v>463</v>
      </c>
      <c r="X119" s="339" t="s">
        <v>260</v>
      </c>
      <c r="Y119" s="339" t="s">
        <v>260</v>
      </c>
      <c r="Z119" s="465"/>
      <c r="AA119" s="465"/>
    </row>
    <row r="120" spans="1:27" s="355" customFormat="1" ht="30" x14ac:dyDescent="0.25">
      <c r="A120" s="451"/>
      <c r="B120" s="472"/>
      <c r="C120" s="338" t="s">
        <v>806</v>
      </c>
      <c r="D120" s="450"/>
      <c r="E120" s="338" t="str">
        <f t="shared" ref="E120:E124" si="21">C120</f>
        <v>СП-10 - ул. Коммунальная 107, 109, 111, 113, 115, 117</v>
      </c>
      <c r="F120" s="450"/>
      <c r="G120" s="339">
        <v>0.4</v>
      </c>
      <c r="H120" s="450"/>
      <c r="I120" s="339">
        <v>0.4</v>
      </c>
      <c r="J120" s="450"/>
      <c r="K120" s="450"/>
      <c r="L120" s="339" t="s">
        <v>260</v>
      </c>
      <c r="M120" s="450"/>
      <c r="N120" s="341" t="s">
        <v>562</v>
      </c>
      <c r="O120" s="450"/>
      <c r="P120" s="339" t="s">
        <v>462</v>
      </c>
      <c r="Q120" s="450"/>
      <c r="R120" s="339">
        <f>0.07+0.052+0.027+0.034+0.088+0.099</f>
        <v>0.37</v>
      </c>
      <c r="S120" s="339"/>
      <c r="T120" s="339"/>
      <c r="U120" s="339"/>
      <c r="V120" s="339"/>
      <c r="W120" s="339"/>
      <c r="X120" s="339"/>
      <c r="Y120" s="339"/>
      <c r="Z120" s="465"/>
      <c r="AA120" s="465"/>
    </row>
    <row r="121" spans="1:27" s="355" customFormat="1" ht="45" x14ac:dyDescent="0.25">
      <c r="A121" s="450"/>
      <c r="B121" s="338" t="s">
        <v>424</v>
      </c>
      <c r="C121" s="338" t="s">
        <v>807</v>
      </c>
      <c r="D121" s="344" t="str">
        <f t="shared" si="20"/>
        <v>ТП-55 - Банковская 4,2 - ТП-54</v>
      </c>
      <c r="E121" s="338" t="str">
        <f t="shared" si="21"/>
        <v>СП 0,4/0,23 - СП-9 - ул. Банковская 2, 4; ул. Кропоткина 1; ул. Коммунальная 56, 58, 60</v>
      </c>
      <c r="F121" s="339">
        <v>0.23</v>
      </c>
      <c r="G121" s="339">
        <v>0.4</v>
      </c>
      <c r="H121" s="339">
        <v>0.23</v>
      </c>
      <c r="I121" s="339">
        <v>0.4</v>
      </c>
      <c r="J121" s="339" t="s">
        <v>444</v>
      </c>
      <c r="K121" s="339" t="s">
        <v>260</v>
      </c>
      <c r="L121" s="339" t="s">
        <v>260</v>
      </c>
      <c r="M121" s="339" t="s">
        <v>447</v>
      </c>
      <c r="N121" s="341" t="s">
        <v>644</v>
      </c>
      <c r="O121" s="339" t="s">
        <v>462</v>
      </c>
      <c r="P121" s="339" t="s">
        <v>462</v>
      </c>
      <c r="Q121" s="339">
        <v>0.25</v>
      </c>
      <c r="R121" s="339">
        <f xml:space="preserve"> 0.046+0.032+0.078+0.107+0.083+0.105+0.122</f>
        <v>0.57299999999999995</v>
      </c>
      <c r="S121" s="339" t="s">
        <v>260</v>
      </c>
      <c r="T121" s="339" t="s">
        <v>260</v>
      </c>
      <c r="U121" s="339" t="s">
        <v>260</v>
      </c>
      <c r="V121" s="339" t="s">
        <v>463</v>
      </c>
      <c r="W121" s="339" t="s">
        <v>463</v>
      </c>
      <c r="X121" s="339" t="s">
        <v>260</v>
      </c>
      <c r="Y121" s="339" t="s">
        <v>260</v>
      </c>
      <c r="Z121" s="465"/>
      <c r="AA121" s="465"/>
    </row>
    <row r="122" spans="1:27" s="355" customFormat="1" ht="30" x14ac:dyDescent="0.25">
      <c r="A122" s="449">
        <v>21</v>
      </c>
      <c r="B122" s="452" t="s">
        <v>414</v>
      </c>
      <c r="C122" s="338" t="s">
        <v>808</v>
      </c>
      <c r="D122" s="452" t="s">
        <v>414</v>
      </c>
      <c r="E122" s="338" t="str">
        <f t="shared" si="21"/>
        <v>ТП-98 - СП-1 - Советский пр-т 57, 61, 63</v>
      </c>
      <c r="F122" s="449">
        <v>0.23</v>
      </c>
      <c r="G122" s="339">
        <v>0.4</v>
      </c>
      <c r="H122" s="449">
        <v>0.23</v>
      </c>
      <c r="I122" s="339">
        <v>0.4</v>
      </c>
      <c r="J122" s="449" t="s">
        <v>444</v>
      </c>
      <c r="K122" s="449" t="s">
        <v>260</v>
      </c>
      <c r="L122" s="339" t="s">
        <v>260</v>
      </c>
      <c r="M122" s="449" t="s">
        <v>647</v>
      </c>
      <c r="N122" s="341" t="s">
        <v>648</v>
      </c>
      <c r="O122" s="449" t="s">
        <v>462</v>
      </c>
      <c r="P122" s="339" t="s">
        <v>462</v>
      </c>
      <c r="Q122" s="449">
        <v>0.48</v>
      </c>
      <c r="R122" s="339">
        <f>0.139+0.068+0.045+0.076</f>
        <v>0.32800000000000001</v>
      </c>
      <c r="S122" s="449" t="s">
        <v>260</v>
      </c>
      <c r="T122" s="449" t="s">
        <v>260</v>
      </c>
      <c r="U122" s="449" t="s">
        <v>260</v>
      </c>
      <c r="V122" s="449" t="s">
        <v>463</v>
      </c>
      <c r="W122" s="339" t="s">
        <v>463</v>
      </c>
      <c r="X122" s="449" t="s">
        <v>260</v>
      </c>
      <c r="Y122" s="449" t="s">
        <v>260</v>
      </c>
      <c r="Z122" s="465"/>
      <c r="AA122" s="465"/>
    </row>
    <row r="123" spans="1:27" s="355" customFormat="1" x14ac:dyDescent="0.25">
      <c r="A123" s="451"/>
      <c r="B123" s="453"/>
      <c r="C123" s="338" t="s">
        <v>646</v>
      </c>
      <c r="D123" s="453"/>
      <c r="E123" s="338" t="str">
        <f t="shared" si="21"/>
        <v>ТП-98 - Советский пр-т 65</v>
      </c>
      <c r="F123" s="451"/>
      <c r="G123" s="339">
        <v>0.4</v>
      </c>
      <c r="H123" s="451"/>
      <c r="I123" s="339">
        <v>0.4</v>
      </c>
      <c r="J123" s="451"/>
      <c r="K123" s="451"/>
      <c r="L123" s="339" t="s">
        <v>260</v>
      </c>
      <c r="M123" s="451"/>
      <c r="N123" s="339" t="s">
        <v>579</v>
      </c>
      <c r="O123" s="451"/>
      <c r="P123" s="339" t="s">
        <v>462</v>
      </c>
      <c r="Q123" s="451"/>
      <c r="R123" s="339">
        <v>0.14199999999999999</v>
      </c>
      <c r="S123" s="451"/>
      <c r="T123" s="451"/>
      <c r="U123" s="451"/>
      <c r="V123" s="451"/>
      <c r="W123" s="339" t="s">
        <v>463</v>
      </c>
      <c r="X123" s="451"/>
      <c r="Y123" s="451"/>
      <c r="Z123" s="465"/>
      <c r="AA123" s="465"/>
    </row>
    <row r="124" spans="1:27" s="355" customFormat="1" x14ac:dyDescent="0.25">
      <c r="A124" s="451"/>
      <c r="B124" s="454"/>
      <c r="C124" s="338" t="s">
        <v>651</v>
      </c>
      <c r="D124" s="454"/>
      <c r="E124" s="338" t="str">
        <f t="shared" si="21"/>
        <v>СП-1070 - ул. Курганская 4-6</v>
      </c>
      <c r="F124" s="450"/>
      <c r="G124" s="339">
        <v>0.4</v>
      </c>
      <c r="H124" s="450"/>
      <c r="I124" s="339">
        <v>0.4</v>
      </c>
      <c r="J124" s="450"/>
      <c r="K124" s="450"/>
      <c r="L124" s="339" t="s">
        <v>260</v>
      </c>
      <c r="M124" s="450"/>
      <c r="N124" s="339" t="s">
        <v>591</v>
      </c>
      <c r="O124" s="450"/>
      <c r="P124" s="339" t="s">
        <v>462</v>
      </c>
      <c r="Q124" s="450"/>
      <c r="R124" s="339">
        <v>3.3000000000000002E-2</v>
      </c>
      <c r="S124" s="450"/>
      <c r="T124" s="450"/>
      <c r="U124" s="450"/>
      <c r="V124" s="450"/>
      <c r="W124" s="339" t="s">
        <v>463</v>
      </c>
      <c r="X124" s="450"/>
      <c r="Y124" s="450"/>
      <c r="Z124" s="465"/>
      <c r="AA124" s="465"/>
    </row>
    <row r="125" spans="1:27" s="342" customFormat="1" x14ac:dyDescent="0.25">
      <c r="A125" s="450"/>
      <c r="B125" s="338" t="s">
        <v>418</v>
      </c>
      <c r="C125" s="338" t="s">
        <v>649</v>
      </c>
      <c r="D125" s="344" t="str">
        <f t="shared" ref="D125" si="22">B125</f>
        <v>ТП-98 - Советский пр. 76-80</v>
      </c>
      <c r="E125" s="338" t="str">
        <f>C125</f>
        <v>ТП-98 - Советский пр-т 76-78, 80</v>
      </c>
      <c r="F125" s="339">
        <v>0.23</v>
      </c>
      <c r="G125" s="339">
        <v>0.4</v>
      </c>
      <c r="H125" s="339">
        <v>0.23</v>
      </c>
      <c r="I125" s="339">
        <v>0.4</v>
      </c>
      <c r="J125" s="339" t="s">
        <v>444</v>
      </c>
      <c r="K125" s="339" t="s">
        <v>260</v>
      </c>
      <c r="L125" s="339" t="s">
        <v>260</v>
      </c>
      <c r="M125" s="339" t="s">
        <v>446</v>
      </c>
      <c r="N125" s="339" t="s">
        <v>650</v>
      </c>
      <c r="O125" s="339" t="s">
        <v>462</v>
      </c>
      <c r="P125" s="339" t="s">
        <v>462</v>
      </c>
      <c r="Q125" s="339">
        <v>0.16500000000000001</v>
      </c>
      <c r="R125" s="339">
        <f xml:space="preserve"> 0.171+0.133</f>
        <v>0.30400000000000005</v>
      </c>
      <c r="S125" s="339" t="s">
        <v>260</v>
      </c>
      <c r="T125" s="339" t="s">
        <v>260</v>
      </c>
      <c r="U125" s="339" t="s">
        <v>260</v>
      </c>
      <c r="V125" s="339" t="s">
        <v>463</v>
      </c>
      <c r="W125" s="339" t="s">
        <v>463</v>
      </c>
      <c r="X125" s="339" t="s">
        <v>260</v>
      </c>
      <c r="Y125" s="339" t="s">
        <v>260</v>
      </c>
      <c r="Z125" s="465"/>
      <c r="AA125" s="465"/>
    </row>
    <row r="126" spans="1:27" s="340" customFormat="1" x14ac:dyDescent="0.25">
      <c r="A126" s="339">
        <v>22</v>
      </c>
      <c r="B126" s="338" t="s">
        <v>625</v>
      </c>
      <c r="C126" s="338" t="s">
        <v>809</v>
      </c>
      <c r="D126" s="338" t="s">
        <v>625</v>
      </c>
      <c r="E126" s="338" t="str">
        <f t="shared" ref="E126:E127" si="23">C126</f>
        <v>СП-244 - ул. К. Маркса 8</v>
      </c>
      <c r="F126" s="339">
        <v>0.4</v>
      </c>
      <c r="G126" s="339">
        <v>0.4</v>
      </c>
      <c r="H126" s="339">
        <v>0.4</v>
      </c>
      <c r="I126" s="339">
        <v>0.4</v>
      </c>
      <c r="J126" s="339" t="s">
        <v>444</v>
      </c>
      <c r="K126" s="339" t="s">
        <v>260</v>
      </c>
      <c r="L126" s="339" t="s">
        <v>260</v>
      </c>
      <c r="M126" s="339" t="s">
        <v>448</v>
      </c>
      <c r="N126" s="339" t="s">
        <v>579</v>
      </c>
      <c r="O126" s="339" t="s">
        <v>462</v>
      </c>
      <c r="P126" s="339" t="s">
        <v>462</v>
      </c>
      <c r="Q126" s="339">
        <v>0.20699999999999999</v>
      </c>
      <c r="R126" s="339">
        <v>0.19700000000000001</v>
      </c>
      <c r="S126" s="339" t="s">
        <v>260</v>
      </c>
      <c r="T126" s="339" t="s">
        <v>260</v>
      </c>
      <c r="U126" s="339" t="s">
        <v>260</v>
      </c>
      <c r="V126" s="339" t="s">
        <v>463</v>
      </c>
      <c r="W126" s="339" t="s">
        <v>463</v>
      </c>
      <c r="X126" s="339" t="s">
        <v>260</v>
      </c>
      <c r="Y126" s="339" t="s">
        <v>260</v>
      </c>
      <c r="Z126" s="465"/>
      <c r="AA126" s="465"/>
    </row>
    <row r="127" spans="1:27" s="355" customFormat="1" ht="30" x14ac:dyDescent="0.25">
      <c r="A127" s="449">
        <v>23</v>
      </c>
      <c r="B127" s="338" t="s">
        <v>652</v>
      </c>
      <c r="C127" s="338" t="s">
        <v>653</v>
      </c>
      <c r="D127" s="338" t="s">
        <v>652</v>
      </c>
      <c r="E127" s="338" t="str">
        <f t="shared" si="23"/>
        <v>СП-203 - СП-3, ул. Л. Захарова 28-30, 32-34</v>
      </c>
      <c r="F127" s="339">
        <v>0.4</v>
      </c>
      <c r="G127" s="339">
        <v>0.4</v>
      </c>
      <c r="H127" s="339">
        <v>0.4</v>
      </c>
      <c r="I127" s="339">
        <v>0.4</v>
      </c>
      <c r="J127" s="339" t="s">
        <v>444</v>
      </c>
      <c r="K127" s="339" t="s">
        <v>260</v>
      </c>
      <c r="L127" s="339" t="s">
        <v>260</v>
      </c>
      <c r="M127" s="339" t="s">
        <v>654</v>
      </c>
      <c r="N127" s="341" t="s">
        <v>582</v>
      </c>
      <c r="O127" s="339" t="s">
        <v>462</v>
      </c>
      <c r="P127" s="339" t="s">
        <v>462</v>
      </c>
      <c r="Q127" s="339">
        <f>0.033+0.003+0.012+0.026+0.005+0.012+0.099+0.006</f>
        <v>0.19600000000000001</v>
      </c>
      <c r="R127" s="339">
        <f>0.083+0.056+0.187</f>
        <v>0.32600000000000001</v>
      </c>
      <c r="S127" s="339" t="s">
        <v>260</v>
      </c>
      <c r="T127" s="339" t="s">
        <v>260</v>
      </c>
      <c r="U127" s="339" t="s">
        <v>260</v>
      </c>
      <c r="V127" s="339" t="s">
        <v>463</v>
      </c>
      <c r="W127" s="339" t="s">
        <v>463</v>
      </c>
      <c r="X127" s="339" t="s">
        <v>260</v>
      </c>
      <c r="Y127" s="339" t="s">
        <v>260</v>
      </c>
      <c r="Z127" s="465"/>
      <c r="AA127" s="465"/>
    </row>
    <row r="128" spans="1:27" s="355" customFormat="1" x14ac:dyDescent="0.25">
      <c r="A128" s="451"/>
      <c r="B128" s="338" t="s">
        <v>656</v>
      </c>
      <c r="C128" s="452" t="s">
        <v>657</v>
      </c>
      <c r="D128" s="338" t="s">
        <v>656</v>
      </c>
      <c r="E128" s="452" t="str">
        <f>C128</f>
        <v>СП-3 - ул. Л. Захарова 3-5, 7-9, 15-17, ул. Авторемонтная 13-15, 17-19</v>
      </c>
      <c r="F128" s="339">
        <v>0.4</v>
      </c>
      <c r="G128" s="449">
        <v>0.4</v>
      </c>
      <c r="H128" s="339">
        <v>0.4</v>
      </c>
      <c r="I128" s="449">
        <v>0.4</v>
      </c>
      <c r="J128" s="449" t="s">
        <v>444</v>
      </c>
      <c r="K128" s="339" t="s">
        <v>260</v>
      </c>
      <c r="L128" s="449" t="s">
        <v>260</v>
      </c>
      <c r="M128" s="360" t="s">
        <v>659</v>
      </c>
      <c r="N128" s="464" t="s">
        <v>660</v>
      </c>
      <c r="O128" s="339" t="s">
        <v>462</v>
      </c>
      <c r="P128" s="449" t="s">
        <v>462</v>
      </c>
      <c r="Q128" s="339">
        <v>0.20499999999999999</v>
      </c>
      <c r="R128" s="449">
        <f>0.05+0.09+0.134+0.168+0.1465</f>
        <v>0.58850000000000002</v>
      </c>
      <c r="S128" s="339" t="s">
        <v>260</v>
      </c>
      <c r="T128" s="339" t="s">
        <v>260</v>
      </c>
      <c r="U128" s="339" t="s">
        <v>260</v>
      </c>
      <c r="V128" s="339" t="s">
        <v>463</v>
      </c>
      <c r="W128" s="449" t="s">
        <v>463</v>
      </c>
      <c r="X128" s="339" t="s">
        <v>260</v>
      </c>
      <c r="Y128" s="339" t="s">
        <v>260</v>
      </c>
      <c r="Z128" s="465"/>
      <c r="AA128" s="465"/>
    </row>
    <row r="129" spans="1:27" s="355" customFormat="1" x14ac:dyDescent="0.25">
      <c r="A129" s="451"/>
      <c r="B129" s="338" t="s">
        <v>655</v>
      </c>
      <c r="C129" s="454"/>
      <c r="D129" s="338" t="s">
        <v>655</v>
      </c>
      <c r="E129" s="454"/>
      <c r="F129" s="339">
        <v>0.4</v>
      </c>
      <c r="G129" s="450"/>
      <c r="H129" s="339">
        <v>0.4</v>
      </c>
      <c r="I129" s="450"/>
      <c r="J129" s="450"/>
      <c r="K129" s="339" t="s">
        <v>260</v>
      </c>
      <c r="L129" s="450"/>
      <c r="M129" s="339" t="s">
        <v>658</v>
      </c>
      <c r="N129" s="466"/>
      <c r="O129" s="339" t="s">
        <v>462</v>
      </c>
      <c r="P129" s="450"/>
      <c r="Q129" s="339">
        <v>0.121</v>
      </c>
      <c r="R129" s="450"/>
      <c r="S129" s="339" t="s">
        <v>260</v>
      </c>
      <c r="T129" s="339" t="s">
        <v>260</v>
      </c>
      <c r="U129" s="339" t="s">
        <v>260</v>
      </c>
      <c r="V129" s="339" t="s">
        <v>463</v>
      </c>
      <c r="W129" s="450"/>
      <c r="X129" s="339" t="s">
        <v>260</v>
      </c>
      <c r="Y129" s="339" t="s">
        <v>260</v>
      </c>
      <c r="Z129" s="465"/>
      <c r="AA129" s="465"/>
    </row>
    <row r="130" spans="1:27" s="355" customFormat="1" ht="30" x14ac:dyDescent="0.25">
      <c r="A130" s="451"/>
      <c r="B130" s="452" t="s">
        <v>661</v>
      </c>
      <c r="C130" s="338" t="s">
        <v>810</v>
      </c>
      <c r="D130" s="452" t="s">
        <v>661</v>
      </c>
      <c r="E130" s="338" t="str">
        <f>C130</f>
        <v>СП-1393 - СП-1 - ул. Дунайская 13-15, 17-19, СП-53</v>
      </c>
      <c r="F130" s="449">
        <v>0.4</v>
      </c>
      <c r="G130" s="339">
        <v>0.4</v>
      </c>
      <c r="H130" s="449">
        <v>0.4</v>
      </c>
      <c r="I130" s="339">
        <v>0.4</v>
      </c>
      <c r="J130" s="449" t="s">
        <v>444</v>
      </c>
      <c r="K130" s="449" t="s">
        <v>260</v>
      </c>
      <c r="L130" s="339" t="s">
        <v>260</v>
      </c>
      <c r="M130" s="449" t="s">
        <v>663</v>
      </c>
      <c r="N130" s="341" t="s">
        <v>581</v>
      </c>
      <c r="O130" s="449" t="s">
        <v>462</v>
      </c>
      <c r="P130" s="339" t="s">
        <v>462</v>
      </c>
      <c r="Q130" s="449">
        <v>9.1999999999999998E-2</v>
      </c>
      <c r="R130" s="339">
        <f>0.064+0.102+0.017+0.039+0.059+0.079</f>
        <v>0.36000000000000004</v>
      </c>
      <c r="S130" s="339" t="s">
        <v>260</v>
      </c>
      <c r="T130" s="339" t="s">
        <v>260</v>
      </c>
      <c r="U130" s="339" t="s">
        <v>260</v>
      </c>
      <c r="V130" s="449" t="s">
        <v>463</v>
      </c>
      <c r="W130" s="339" t="s">
        <v>463</v>
      </c>
      <c r="X130" s="339" t="s">
        <v>260</v>
      </c>
      <c r="Y130" s="339" t="s">
        <v>260</v>
      </c>
      <c r="Z130" s="465"/>
      <c r="AA130" s="465"/>
    </row>
    <row r="131" spans="1:27" s="355" customFormat="1" x14ac:dyDescent="0.25">
      <c r="A131" s="450"/>
      <c r="B131" s="454"/>
      <c r="C131" s="338" t="s">
        <v>662</v>
      </c>
      <c r="D131" s="454"/>
      <c r="E131" s="338" t="str">
        <f>C131</f>
        <v>СП-53 -ул. Дунайская 9-11</v>
      </c>
      <c r="F131" s="450"/>
      <c r="G131" s="339">
        <v>0.4</v>
      </c>
      <c r="H131" s="450"/>
      <c r="I131" s="339">
        <v>0.4</v>
      </c>
      <c r="J131" s="450"/>
      <c r="K131" s="450"/>
      <c r="L131" s="339" t="s">
        <v>260</v>
      </c>
      <c r="M131" s="450"/>
      <c r="N131" s="341" t="s">
        <v>562</v>
      </c>
      <c r="O131" s="450"/>
      <c r="P131" s="339" t="s">
        <v>462</v>
      </c>
      <c r="Q131" s="450"/>
      <c r="R131" s="339">
        <v>0.02</v>
      </c>
      <c r="S131" s="339" t="s">
        <v>260</v>
      </c>
      <c r="T131" s="339" t="s">
        <v>260</v>
      </c>
      <c r="U131" s="339" t="s">
        <v>260</v>
      </c>
      <c r="V131" s="450"/>
      <c r="W131" s="339" t="s">
        <v>463</v>
      </c>
      <c r="X131" s="339" t="s">
        <v>260</v>
      </c>
      <c r="Y131" s="339" t="s">
        <v>260</v>
      </c>
      <c r="Z131" s="465"/>
      <c r="AA131" s="465"/>
    </row>
    <row r="132" spans="1:27" s="357" customFormat="1" ht="30" x14ac:dyDescent="0.25">
      <c r="A132" s="339">
        <v>24</v>
      </c>
      <c r="B132" s="338" t="s">
        <v>626</v>
      </c>
      <c r="C132" s="338" t="s">
        <v>627</v>
      </c>
      <c r="D132" s="338" t="s">
        <v>626</v>
      </c>
      <c r="E132" s="338" t="str">
        <f>C132</f>
        <v>СП-1410 - ул. Каштановая аллея, 179</v>
      </c>
      <c r="F132" s="339">
        <v>0.23</v>
      </c>
      <c r="G132" s="339">
        <v>0.4</v>
      </c>
      <c r="H132" s="339">
        <v>0.23</v>
      </c>
      <c r="I132" s="339">
        <v>0.4</v>
      </c>
      <c r="J132" s="339" t="s">
        <v>444</v>
      </c>
      <c r="K132" s="339" t="s">
        <v>260</v>
      </c>
      <c r="L132" s="339" t="s">
        <v>260</v>
      </c>
      <c r="M132" s="341" t="s">
        <v>628</v>
      </c>
      <c r="N132" s="339" t="s">
        <v>579</v>
      </c>
      <c r="O132" s="339" t="s">
        <v>466</v>
      </c>
      <c r="P132" s="339" t="s">
        <v>462</v>
      </c>
      <c r="Q132" s="341">
        <f>0.04+0.237</f>
        <v>0.27699999999999997</v>
      </c>
      <c r="R132" s="339">
        <v>5.8000000000000003E-2</v>
      </c>
      <c r="S132" s="339" t="s">
        <v>260</v>
      </c>
      <c r="T132" s="339" t="s">
        <v>260</v>
      </c>
      <c r="U132" s="339" t="s">
        <v>260</v>
      </c>
      <c r="V132" s="339" t="s">
        <v>629</v>
      </c>
      <c r="W132" s="339" t="s">
        <v>463</v>
      </c>
      <c r="X132" s="339" t="s">
        <v>260</v>
      </c>
      <c r="Y132" s="339" t="s">
        <v>260</v>
      </c>
      <c r="Z132" s="466"/>
      <c r="AA132" s="466"/>
    </row>
    <row r="133" spans="1:27" x14ac:dyDescent="0.25">
      <c r="A133" s="361"/>
      <c r="B133" s="362"/>
      <c r="C133" s="362"/>
      <c r="D133" s="363"/>
      <c r="E133" s="363"/>
      <c r="F133" s="361"/>
      <c r="G133" s="361"/>
      <c r="H133" s="361"/>
      <c r="I133" s="361"/>
      <c r="J133" s="361"/>
      <c r="K133" s="361"/>
      <c r="L133" s="361"/>
      <c r="M133" s="361"/>
      <c r="N133" s="361"/>
      <c r="O133" s="361"/>
      <c r="P133" s="361"/>
      <c r="Q133" s="361">
        <f>SUM(Q25:Q132)</f>
        <v>18.906000000000002</v>
      </c>
      <c r="R133" s="361">
        <f>SUM(R25:R132)</f>
        <v>28.733999999999998</v>
      </c>
      <c r="S133" s="360">
        <f>R133-Q133</f>
        <v>9.8279999999999959</v>
      </c>
      <c r="T133" s="361"/>
      <c r="U133" s="361"/>
      <c r="V133" s="361"/>
      <c r="W133" s="361"/>
      <c r="X133" s="361"/>
      <c r="Y133" s="361"/>
      <c r="Z133" s="361"/>
      <c r="AA133" s="361"/>
    </row>
    <row r="163" spans="17:18" x14ac:dyDescent="0.25">
      <c r="Q163" s="138"/>
      <c r="R163" s="138"/>
    </row>
  </sheetData>
  <autoFilter ref="A24:WVQ24"/>
  <mergeCells count="338">
    <mergeCell ref="Q130:Q131"/>
    <mergeCell ref="V130:V131"/>
    <mergeCell ref="S122:S124"/>
    <mergeCell ref="T122:T124"/>
    <mergeCell ref="U122:U124"/>
    <mergeCell ref="V122:V124"/>
    <mergeCell ref="X122:X124"/>
    <mergeCell ref="Y122:Y124"/>
    <mergeCell ref="A127:A131"/>
    <mergeCell ref="C128:C129"/>
    <mergeCell ref="E128:E129"/>
    <mergeCell ref="G128:G129"/>
    <mergeCell ref="I128:I129"/>
    <mergeCell ref="L128:L129"/>
    <mergeCell ref="N128:N129"/>
    <mergeCell ref="P128:P129"/>
    <mergeCell ref="R128:R129"/>
    <mergeCell ref="W128:W129"/>
    <mergeCell ref="B130:B131"/>
    <mergeCell ref="D130:D131"/>
    <mergeCell ref="F130:F131"/>
    <mergeCell ref="H130:H131"/>
    <mergeCell ref="J130:J131"/>
    <mergeCell ref="K130:K131"/>
    <mergeCell ref="M130:M131"/>
    <mergeCell ref="O130:O131"/>
    <mergeCell ref="S117:S118"/>
    <mergeCell ref="T117:T118"/>
    <mergeCell ref="U117:U118"/>
    <mergeCell ref="V117:V118"/>
    <mergeCell ref="X117:X118"/>
    <mergeCell ref="Y117:Y118"/>
    <mergeCell ref="B119:B120"/>
    <mergeCell ref="D119:D120"/>
    <mergeCell ref="F119:F120"/>
    <mergeCell ref="H119:H120"/>
    <mergeCell ref="J119:J120"/>
    <mergeCell ref="K119:K120"/>
    <mergeCell ref="M119:M120"/>
    <mergeCell ref="O119:O120"/>
    <mergeCell ref="Q119:Q120"/>
    <mergeCell ref="B117:B118"/>
    <mergeCell ref="D117:D118"/>
    <mergeCell ref="F117:F118"/>
    <mergeCell ref="H117:H118"/>
    <mergeCell ref="J117:J118"/>
    <mergeCell ref="K117:K118"/>
    <mergeCell ref="M117:M118"/>
    <mergeCell ref="C115:C116"/>
    <mergeCell ref="E115:E116"/>
    <mergeCell ref="G115:G116"/>
    <mergeCell ref="I115:I116"/>
    <mergeCell ref="L115:L116"/>
    <mergeCell ref="N115:N116"/>
    <mergeCell ref="P115:P116"/>
    <mergeCell ref="R115:R116"/>
    <mergeCell ref="W115:W116"/>
    <mergeCell ref="Q103:Q104"/>
    <mergeCell ref="S103:S104"/>
    <mergeCell ref="T103:T104"/>
    <mergeCell ref="U103:U104"/>
    <mergeCell ref="V103:V104"/>
    <mergeCell ref="X103:X104"/>
    <mergeCell ref="Y103:Y104"/>
    <mergeCell ref="A107:A108"/>
    <mergeCell ref="A109:A121"/>
    <mergeCell ref="B109:B111"/>
    <mergeCell ref="D109:D111"/>
    <mergeCell ref="F109:F111"/>
    <mergeCell ref="H109:H111"/>
    <mergeCell ref="J109:J111"/>
    <mergeCell ref="K109:K111"/>
    <mergeCell ref="M109:M111"/>
    <mergeCell ref="O109:O111"/>
    <mergeCell ref="Q109:Q111"/>
    <mergeCell ref="S109:S111"/>
    <mergeCell ref="T109:T111"/>
    <mergeCell ref="U109:U111"/>
    <mergeCell ref="V109:V111"/>
    <mergeCell ref="X109:X111"/>
    <mergeCell ref="Y109:Y111"/>
    <mergeCell ref="A101:A106"/>
    <mergeCell ref="B103:B104"/>
    <mergeCell ref="D103:D104"/>
    <mergeCell ref="F103:F104"/>
    <mergeCell ref="H103:H104"/>
    <mergeCell ref="J103:J104"/>
    <mergeCell ref="K103:K104"/>
    <mergeCell ref="M103:M104"/>
    <mergeCell ref="O103:O104"/>
    <mergeCell ref="O101:O102"/>
    <mergeCell ref="P78:P79"/>
    <mergeCell ref="R78:R79"/>
    <mergeCell ref="W78:W79"/>
    <mergeCell ref="A87:A90"/>
    <mergeCell ref="A91:A99"/>
    <mergeCell ref="C95:C97"/>
    <mergeCell ref="E95:E97"/>
    <mergeCell ref="G95:G97"/>
    <mergeCell ref="I95:I97"/>
    <mergeCell ref="L95:L97"/>
    <mergeCell ref="N95:N97"/>
    <mergeCell ref="P95:P97"/>
    <mergeCell ref="R95:R97"/>
    <mergeCell ref="W95:W97"/>
    <mergeCell ref="C98:C99"/>
    <mergeCell ref="E98:E99"/>
    <mergeCell ref="G98:G99"/>
    <mergeCell ref="I98:I99"/>
    <mergeCell ref="L98:L99"/>
    <mergeCell ref="N98:N99"/>
    <mergeCell ref="P98:P99"/>
    <mergeCell ref="R98:R99"/>
    <mergeCell ref="W98:W99"/>
    <mergeCell ref="A78:A85"/>
    <mergeCell ref="A70:A77"/>
    <mergeCell ref="C70:C71"/>
    <mergeCell ref="E70:E71"/>
    <mergeCell ref="G70:G71"/>
    <mergeCell ref="I70:I71"/>
    <mergeCell ref="N70:N71"/>
    <mergeCell ref="P70:P71"/>
    <mergeCell ref="R70:R71"/>
    <mergeCell ref="W70:W71"/>
    <mergeCell ref="B75:B77"/>
    <mergeCell ref="D75:D77"/>
    <mergeCell ref="F75:F77"/>
    <mergeCell ref="H75:H77"/>
    <mergeCell ref="J75:J77"/>
    <mergeCell ref="K75:K77"/>
    <mergeCell ref="M75:M77"/>
    <mergeCell ref="O75:O77"/>
    <mergeCell ref="Q75:Q77"/>
    <mergeCell ref="S75:S77"/>
    <mergeCell ref="T75:T77"/>
    <mergeCell ref="U75:U77"/>
    <mergeCell ref="V75:V77"/>
    <mergeCell ref="A64:A68"/>
    <mergeCell ref="B65:B66"/>
    <mergeCell ref="D65:D66"/>
    <mergeCell ref="F65:F66"/>
    <mergeCell ref="H65:H66"/>
    <mergeCell ref="J65:J66"/>
    <mergeCell ref="K65:K66"/>
    <mergeCell ref="M65:M66"/>
    <mergeCell ref="O65:O66"/>
    <mergeCell ref="T54:T58"/>
    <mergeCell ref="U54:U58"/>
    <mergeCell ref="V54:V58"/>
    <mergeCell ref="X54:X58"/>
    <mergeCell ref="Y54:Y58"/>
    <mergeCell ref="Q59:Q62"/>
    <mergeCell ref="A52:A58"/>
    <mergeCell ref="B54:B58"/>
    <mergeCell ref="D54:D58"/>
    <mergeCell ref="F54:F58"/>
    <mergeCell ref="H54:H58"/>
    <mergeCell ref="J54:J58"/>
    <mergeCell ref="K54:K58"/>
    <mergeCell ref="M54:M58"/>
    <mergeCell ref="O54:O58"/>
    <mergeCell ref="A59:A63"/>
    <mergeCell ref="B59:B62"/>
    <mergeCell ref="D59:D62"/>
    <mergeCell ref="F59:F62"/>
    <mergeCell ref="H59:H62"/>
    <mergeCell ref="J59:J62"/>
    <mergeCell ref="K59:K62"/>
    <mergeCell ref="M59:M62"/>
    <mergeCell ref="O59:O62"/>
    <mergeCell ref="B28:B30"/>
    <mergeCell ref="F43:F45"/>
    <mergeCell ref="H43:H45"/>
    <mergeCell ref="J43:J45"/>
    <mergeCell ref="K43:K45"/>
    <mergeCell ref="M43:M45"/>
    <mergeCell ref="O43:O45"/>
    <mergeCell ref="Q43:Q45"/>
    <mergeCell ref="S43:S45"/>
    <mergeCell ref="D28:D29"/>
    <mergeCell ref="O28:O29"/>
    <mergeCell ref="Q28:Q29"/>
    <mergeCell ref="S28:S29"/>
    <mergeCell ref="V101:V102"/>
    <mergeCell ref="X101:X102"/>
    <mergeCell ref="Y101:Y102"/>
    <mergeCell ref="B101:B102"/>
    <mergeCell ref="F101:F102"/>
    <mergeCell ref="H101:H102"/>
    <mergeCell ref="J101:J102"/>
    <mergeCell ref="K101:K102"/>
    <mergeCell ref="M101:M102"/>
    <mergeCell ref="S101:S102"/>
    <mergeCell ref="T101:T102"/>
    <mergeCell ref="U101:U102"/>
    <mergeCell ref="Z21:AA21"/>
    <mergeCell ref="U21:U22"/>
    <mergeCell ref="V21:W22"/>
    <mergeCell ref="S25:S27"/>
    <mergeCell ref="Y25:Y27"/>
    <mergeCell ref="Y28:Y29"/>
    <mergeCell ref="C78:C79"/>
    <mergeCell ref="E78:E79"/>
    <mergeCell ref="G78:G79"/>
    <mergeCell ref="I78:I79"/>
    <mergeCell ref="L78:L79"/>
    <mergeCell ref="N78:N79"/>
    <mergeCell ref="Q65:Q66"/>
    <mergeCell ref="S65:S66"/>
    <mergeCell ref="T65:T66"/>
    <mergeCell ref="Z25:Z132"/>
    <mergeCell ref="AA25:AA132"/>
    <mergeCell ref="T43:T45"/>
    <mergeCell ref="U43:U45"/>
    <mergeCell ref="V43:V45"/>
    <mergeCell ref="X43:X45"/>
    <mergeCell ref="Y43:Y45"/>
    <mergeCell ref="Q54:Q58"/>
    <mergeCell ref="S54:S58"/>
    <mergeCell ref="A28:A30"/>
    <mergeCell ref="F28:F29"/>
    <mergeCell ref="H28:H29"/>
    <mergeCell ref="J28:J29"/>
    <mergeCell ref="T25:T27"/>
    <mergeCell ref="U25:U27"/>
    <mergeCell ref="V25:V27"/>
    <mergeCell ref="X25:X27"/>
    <mergeCell ref="A25:A27"/>
    <mergeCell ref="B25:B27"/>
    <mergeCell ref="D25:D27"/>
    <mergeCell ref="Q25:Q27"/>
    <mergeCell ref="J25:J27"/>
    <mergeCell ref="K25:K27"/>
    <mergeCell ref="M25:M27"/>
    <mergeCell ref="F25:F27"/>
    <mergeCell ref="H25:H27"/>
    <mergeCell ref="O25:O27"/>
    <mergeCell ref="T28:T29"/>
    <mergeCell ref="U28:U29"/>
    <mergeCell ref="V28:V29"/>
    <mergeCell ref="X28:X29"/>
    <mergeCell ref="K28:K29"/>
    <mergeCell ref="M28:M29"/>
    <mergeCell ref="A19:AA19"/>
    <mergeCell ref="O21:P22"/>
    <mergeCell ref="F22:G22"/>
    <mergeCell ref="H22:I22"/>
    <mergeCell ref="B21:C22"/>
    <mergeCell ref="A5:AA5"/>
    <mergeCell ref="E16:Y16"/>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A15:AA15"/>
    <mergeCell ref="A31:A34"/>
    <mergeCell ref="C37:C38"/>
    <mergeCell ref="E37:E38"/>
    <mergeCell ref="N37:N38"/>
    <mergeCell ref="P37:P38"/>
    <mergeCell ref="B43:B44"/>
    <mergeCell ref="R37:R38"/>
    <mergeCell ref="W37:W38"/>
    <mergeCell ref="G37:G38"/>
    <mergeCell ref="I37:I38"/>
    <mergeCell ref="L37:L38"/>
    <mergeCell ref="B40:B41"/>
    <mergeCell ref="D40:D41"/>
    <mergeCell ref="T40:T41"/>
    <mergeCell ref="U40:U41"/>
    <mergeCell ref="F40:F41"/>
    <mergeCell ref="H40:H41"/>
    <mergeCell ref="J40:J41"/>
    <mergeCell ref="K40:K41"/>
    <mergeCell ref="M40:M41"/>
    <mergeCell ref="O40:O41"/>
    <mergeCell ref="Q40:Q41"/>
    <mergeCell ref="V40:V41"/>
    <mergeCell ref="W40:W41"/>
    <mergeCell ref="X40:X41"/>
    <mergeCell ref="Y40:Y41"/>
    <mergeCell ref="S40:S41"/>
    <mergeCell ref="A45:A51"/>
    <mergeCell ref="X65:X66"/>
    <mergeCell ref="Y65:Y66"/>
    <mergeCell ref="X75:X77"/>
    <mergeCell ref="Y75:Y77"/>
    <mergeCell ref="U112:U113"/>
    <mergeCell ref="V112:V113"/>
    <mergeCell ref="X112:X113"/>
    <mergeCell ref="Y112:Y113"/>
    <mergeCell ref="Q112:Q113"/>
    <mergeCell ref="S112:S113"/>
    <mergeCell ref="T112:T113"/>
    <mergeCell ref="U65:U66"/>
    <mergeCell ref="V65:V66"/>
    <mergeCell ref="S59:S62"/>
    <mergeCell ref="T59:T62"/>
    <mergeCell ref="U59:U62"/>
    <mergeCell ref="V59:V62"/>
    <mergeCell ref="X59:X62"/>
    <mergeCell ref="Y59:Y62"/>
    <mergeCell ref="Q101:Q102"/>
    <mergeCell ref="B112:B113"/>
    <mergeCell ref="D112:D113"/>
    <mergeCell ref="F112:F113"/>
    <mergeCell ref="H112:H113"/>
    <mergeCell ref="J112:J113"/>
    <mergeCell ref="K112:K113"/>
    <mergeCell ref="M112:M113"/>
    <mergeCell ref="O112:O113"/>
    <mergeCell ref="B45:B46"/>
    <mergeCell ref="D45:D46"/>
    <mergeCell ref="Q117:Q118"/>
    <mergeCell ref="Q122:Q124"/>
    <mergeCell ref="J128:J129"/>
    <mergeCell ref="A122:A125"/>
    <mergeCell ref="B122:B124"/>
    <mergeCell ref="D122:D124"/>
    <mergeCell ref="F122:F124"/>
    <mergeCell ref="H122:H124"/>
    <mergeCell ref="J122:J124"/>
    <mergeCell ref="K122:K124"/>
    <mergeCell ref="M122:M124"/>
    <mergeCell ref="O122:O124"/>
    <mergeCell ref="O117:O118"/>
  </mergeCells>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22" zoomScale="80" zoomScaleSheetLayoutView="80" workbookViewId="0">
      <selection activeCell="C27" sqref="C27"/>
    </sheetView>
  </sheetViews>
  <sheetFormatPr defaultColWidth="9.140625" defaultRowHeight="15" x14ac:dyDescent="0.25"/>
  <cols>
    <col min="1" max="1" width="6.140625" style="68" customWidth="1"/>
    <col min="2" max="2" width="53.5703125" style="68" customWidth="1"/>
    <col min="3" max="3" width="98.28515625" style="68" customWidth="1"/>
    <col min="4" max="4" width="14.42578125" style="68" customWidth="1"/>
    <col min="5" max="5" width="36.5703125" style="68" customWidth="1"/>
    <col min="6" max="6" width="20" style="68" customWidth="1"/>
    <col min="7" max="7" width="25.5703125" style="68" customWidth="1"/>
    <col min="8" max="8" width="16.42578125" style="68" customWidth="1"/>
    <col min="9" max="16384" width="9.140625" style="68"/>
  </cols>
  <sheetData>
    <row r="1" spans="1:29" s="2" customFormat="1" ht="18.75" customHeight="1" x14ac:dyDescent="0.2">
      <c r="C1" s="4" t="s">
        <v>65</v>
      </c>
      <c r="E1" s="69"/>
      <c r="F1" s="69"/>
    </row>
    <row r="2" spans="1:29" s="2" customFormat="1" ht="18.75" customHeight="1" x14ac:dyDescent="0.3">
      <c r="C2" s="1" t="s">
        <v>7</v>
      </c>
      <c r="E2" s="69"/>
      <c r="F2" s="69"/>
    </row>
    <row r="3" spans="1:29" s="2" customFormat="1" ht="18.75" x14ac:dyDescent="0.3">
      <c r="A3" s="70"/>
      <c r="C3" s="1" t="s">
        <v>64</v>
      </c>
      <c r="E3" s="69"/>
      <c r="F3" s="69"/>
    </row>
    <row r="4" spans="1:29" s="2" customFormat="1" ht="18.75" x14ac:dyDescent="0.3">
      <c r="A4" s="70"/>
      <c r="C4" s="1"/>
      <c r="E4" s="69"/>
      <c r="F4" s="69"/>
    </row>
    <row r="5" spans="1:29" s="2" customFormat="1" ht="15.75" x14ac:dyDescent="0.2">
      <c r="A5" s="409" t="str">
        <f>'3.2 паспорт Техсостояние ЛЭП'!A5</f>
        <v>Год раскрытия информации: 2023 год</v>
      </c>
      <c r="B5" s="409"/>
      <c r="C5" s="409"/>
      <c r="D5" s="44"/>
      <c r="E5" s="44"/>
      <c r="F5" s="44"/>
      <c r="G5" s="44"/>
      <c r="H5" s="44"/>
      <c r="I5" s="44"/>
      <c r="J5" s="44"/>
      <c r="K5" s="44"/>
      <c r="L5" s="44"/>
      <c r="M5" s="44"/>
      <c r="N5" s="44"/>
      <c r="O5" s="44"/>
      <c r="P5" s="44"/>
      <c r="Q5" s="44"/>
      <c r="R5" s="44"/>
      <c r="S5" s="44"/>
      <c r="T5" s="44"/>
      <c r="U5" s="44"/>
      <c r="V5" s="44"/>
      <c r="W5" s="44"/>
      <c r="X5" s="44"/>
      <c r="Y5" s="44"/>
      <c r="Z5" s="44"/>
      <c r="AA5" s="44"/>
      <c r="AB5" s="44"/>
      <c r="AC5" s="44"/>
    </row>
    <row r="6" spans="1:29" s="2" customFormat="1" ht="18.75" x14ac:dyDescent="0.3">
      <c r="A6" s="70"/>
      <c r="E6" s="69"/>
      <c r="F6" s="69"/>
      <c r="G6" s="1"/>
    </row>
    <row r="7" spans="1:29" s="2" customFormat="1" ht="18.75" x14ac:dyDescent="0.2">
      <c r="A7" s="411" t="s">
        <v>6</v>
      </c>
      <c r="B7" s="411"/>
      <c r="C7" s="411"/>
      <c r="D7" s="71"/>
      <c r="E7" s="71"/>
      <c r="F7" s="71"/>
      <c r="G7" s="71"/>
      <c r="H7" s="71"/>
      <c r="I7" s="71"/>
      <c r="J7" s="71"/>
      <c r="K7" s="71"/>
      <c r="L7" s="71"/>
      <c r="M7" s="71"/>
      <c r="N7" s="71"/>
      <c r="O7" s="71"/>
      <c r="P7" s="71"/>
      <c r="Q7" s="71"/>
      <c r="R7" s="71"/>
      <c r="S7" s="71"/>
      <c r="T7" s="71"/>
      <c r="U7" s="71"/>
    </row>
    <row r="8" spans="1:29" s="2" customFormat="1" ht="18.75" x14ac:dyDescent="0.2">
      <c r="A8" s="411"/>
      <c r="B8" s="411"/>
      <c r="C8" s="411"/>
      <c r="D8" s="72"/>
      <c r="E8" s="72"/>
      <c r="F8" s="72"/>
      <c r="G8" s="72"/>
      <c r="H8" s="71"/>
      <c r="I8" s="71"/>
      <c r="J8" s="71"/>
      <c r="K8" s="71"/>
      <c r="L8" s="71"/>
      <c r="M8" s="71"/>
      <c r="N8" s="71"/>
      <c r="O8" s="71"/>
      <c r="P8" s="71"/>
      <c r="Q8" s="71"/>
      <c r="R8" s="71"/>
      <c r="S8" s="71"/>
      <c r="T8" s="71"/>
      <c r="U8" s="71"/>
    </row>
    <row r="9" spans="1:29" s="2" customFormat="1" ht="18.75" x14ac:dyDescent="0.2">
      <c r="A9" s="414" t="str">
        <f>'3.2 паспорт Техсостояние ЛЭП'!E9</f>
        <v>Акционерное общество "Россети Янтарь"</v>
      </c>
      <c r="B9" s="414"/>
      <c r="C9" s="414"/>
      <c r="D9" s="73"/>
      <c r="E9" s="73"/>
      <c r="F9" s="73"/>
      <c r="G9" s="73"/>
      <c r="H9" s="71"/>
      <c r="I9" s="71"/>
      <c r="J9" s="71"/>
      <c r="K9" s="71"/>
      <c r="L9" s="71"/>
      <c r="M9" s="71"/>
      <c r="N9" s="71"/>
      <c r="O9" s="71"/>
      <c r="P9" s="71"/>
      <c r="Q9" s="71"/>
      <c r="R9" s="71"/>
      <c r="S9" s="71"/>
      <c r="T9" s="71"/>
      <c r="U9" s="71"/>
    </row>
    <row r="10" spans="1:29" s="2" customFormat="1" ht="18.75" x14ac:dyDescent="0.2">
      <c r="A10" s="412" t="s">
        <v>5</v>
      </c>
      <c r="B10" s="412"/>
      <c r="C10" s="412"/>
      <c r="D10" s="74"/>
      <c r="E10" s="74"/>
      <c r="F10" s="74"/>
      <c r="G10" s="74"/>
      <c r="H10" s="71"/>
      <c r="I10" s="71"/>
      <c r="J10" s="71"/>
      <c r="K10" s="71"/>
      <c r="L10" s="71"/>
      <c r="M10" s="71"/>
      <c r="N10" s="71"/>
      <c r="O10" s="71"/>
      <c r="P10" s="71"/>
      <c r="Q10" s="71"/>
      <c r="R10" s="71"/>
      <c r="S10" s="71"/>
      <c r="T10" s="71"/>
      <c r="U10" s="71"/>
    </row>
    <row r="11" spans="1:29" s="2" customFormat="1" ht="18.75" x14ac:dyDescent="0.2">
      <c r="A11" s="411"/>
      <c r="B11" s="411"/>
      <c r="C11" s="411"/>
      <c r="D11" s="72"/>
      <c r="E11" s="72"/>
      <c r="F11" s="72"/>
      <c r="G11" s="72"/>
      <c r="H11" s="71"/>
      <c r="I11" s="71"/>
      <c r="J11" s="71"/>
      <c r="K11" s="71"/>
      <c r="L11" s="71"/>
      <c r="M11" s="71"/>
      <c r="N11" s="71"/>
      <c r="O11" s="71"/>
      <c r="P11" s="71"/>
      <c r="Q11" s="71"/>
      <c r="R11" s="71"/>
      <c r="S11" s="71"/>
      <c r="T11" s="71"/>
      <c r="U11" s="71"/>
    </row>
    <row r="12" spans="1:29" s="2" customFormat="1" ht="18.75" x14ac:dyDescent="0.2">
      <c r="A12" s="414" t="str">
        <f>'3.2 паспорт Техсостояние ЛЭП'!E12</f>
        <v>L_19-1035</v>
      </c>
      <c r="B12" s="414"/>
      <c r="C12" s="414"/>
      <c r="D12" s="73"/>
      <c r="E12" s="73"/>
      <c r="F12" s="73"/>
      <c r="G12" s="73"/>
      <c r="H12" s="71"/>
      <c r="I12" s="71"/>
      <c r="J12" s="71"/>
      <c r="K12" s="71"/>
      <c r="L12" s="71"/>
      <c r="M12" s="71"/>
      <c r="N12" s="71"/>
      <c r="O12" s="71"/>
      <c r="P12" s="71"/>
      <c r="Q12" s="71"/>
      <c r="R12" s="71"/>
      <c r="S12" s="71"/>
      <c r="T12" s="71"/>
      <c r="U12" s="71"/>
    </row>
    <row r="13" spans="1:29" s="2" customFormat="1" ht="18.75" x14ac:dyDescent="0.2">
      <c r="A13" s="412" t="s">
        <v>4</v>
      </c>
      <c r="B13" s="412"/>
      <c r="C13" s="412"/>
      <c r="D13" s="74"/>
      <c r="E13" s="74"/>
      <c r="F13" s="74"/>
      <c r="G13" s="74"/>
      <c r="H13" s="71"/>
      <c r="I13" s="71"/>
      <c r="J13" s="71"/>
      <c r="K13" s="71"/>
      <c r="L13" s="71"/>
      <c r="M13" s="71"/>
      <c r="N13" s="71"/>
      <c r="O13" s="71"/>
      <c r="P13" s="71"/>
      <c r="Q13" s="71"/>
      <c r="R13" s="71"/>
      <c r="S13" s="71"/>
      <c r="T13" s="71"/>
      <c r="U13" s="71"/>
    </row>
    <row r="14" spans="1:29" s="76" customFormat="1" ht="15.75" customHeight="1" x14ac:dyDescent="0.2">
      <c r="A14" s="425"/>
      <c r="B14" s="425"/>
      <c r="C14" s="425"/>
      <c r="D14" s="75"/>
      <c r="E14" s="75"/>
      <c r="F14" s="75"/>
      <c r="G14" s="75"/>
      <c r="H14" s="75"/>
      <c r="I14" s="75"/>
      <c r="J14" s="75"/>
      <c r="K14" s="75"/>
      <c r="L14" s="75"/>
      <c r="M14" s="75"/>
      <c r="N14" s="75"/>
      <c r="O14" s="75"/>
      <c r="P14" s="75"/>
      <c r="Q14" s="75"/>
      <c r="R14" s="75"/>
      <c r="S14" s="75"/>
      <c r="T14" s="75"/>
      <c r="U14" s="75"/>
    </row>
    <row r="15" spans="1:29" s="77" customFormat="1" ht="105" customHeight="1" x14ac:dyDescent="0.2">
      <c r="A15" s="448" t="str">
        <f>'3.2 паспорт Техсостояние ЛЭП'!A15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48"/>
      <c r="C15" s="448"/>
      <c r="D15" s="73"/>
      <c r="E15" s="73"/>
      <c r="F15" s="73"/>
      <c r="G15" s="73"/>
      <c r="H15" s="73"/>
      <c r="I15" s="73"/>
      <c r="J15" s="73"/>
      <c r="K15" s="73"/>
      <c r="L15" s="73"/>
      <c r="M15" s="73"/>
      <c r="N15" s="73"/>
      <c r="O15" s="73"/>
      <c r="P15" s="73"/>
      <c r="Q15" s="73"/>
      <c r="R15" s="73"/>
      <c r="S15" s="73"/>
      <c r="T15" s="73"/>
      <c r="U15" s="73"/>
    </row>
    <row r="16" spans="1:29" s="77" customFormat="1" ht="15" customHeight="1" x14ac:dyDescent="0.2">
      <c r="A16" s="412" t="s">
        <v>3</v>
      </c>
      <c r="B16" s="412"/>
      <c r="C16" s="412"/>
      <c r="D16" s="74"/>
      <c r="E16" s="74"/>
      <c r="F16" s="74"/>
      <c r="G16" s="74"/>
      <c r="H16" s="74"/>
      <c r="I16" s="74"/>
      <c r="J16" s="74"/>
      <c r="K16" s="74"/>
      <c r="L16" s="74"/>
      <c r="M16" s="74"/>
      <c r="N16" s="74"/>
      <c r="O16" s="74"/>
      <c r="P16" s="74"/>
      <c r="Q16" s="74"/>
      <c r="R16" s="74"/>
      <c r="S16" s="74"/>
      <c r="T16" s="74"/>
      <c r="U16" s="74"/>
    </row>
    <row r="17" spans="1:21" s="77" customFormat="1" ht="15" customHeight="1" x14ac:dyDescent="0.2">
      <c r="A17" s="428"/>
      <c r="B17" s="428"/>
      <c r="C17" s="428"/>
      <c r="D17" s="78"/>
      <c r="E17" s="78"/>
      <c r="F17" s="78"/>
      <c r="G17" s="78"/>
      <c r="H17" s="78"/>
      <c r="I17" s="78"/>
      <c r="J17" s="78"/>
      <c r="K17" s="78"/>
      <c r="L17" s="78"/>
      <c r="M17" s="78"/>
      <c r="N17" s="78"/>
      <c r="O17" s="78"/>
      <c r="P17" s="78"/>
      <c r="Q17" s="78"/>
      <c r="R17" s="78"/>
    </row>
    <row r="18" spans="1:21" s="77" customFormat="1" ht="27.75" customHeight="1" x14ac:dyDescent="0.2">
      <c r="A18" s="418" t="s">
        <v>336</v>
      </c>
      <c r="B18" s="418"/>
      <c r="C18" s="418"/>
      <c r="D18" s="79"/>
      <c r="E18" s="79"/>
      <c r="F18" s="79"/>
      <c r="G18" s="79"/>
      <c r="H18" s="79"/>
      <c r="I18" s="79"/>
      <c r="J18" s="79"/>
      <c r="K18" s="79"/>
      <c r="L18" s="79"/>
      <c r="M18" s="79"/>
      <c r="N18" s="79"/>
      <c r="O18" s="79"/>
      <c r="P18" s="79"/>
      <c r="Q18" s="79"/>
      <c r="R18" s="79"/>
      <c r="S18" s="79"/>
      <c r="T18" s="79"/>
      <c r="U18" s="79"/>
    </row>
    <row r="19" spans="1:21" s="77" customFormat="1" ht="15" customHeight="1" x14ac:dyDescent="0.2">
      <c r="A19" s="74"/>
      <c r="B19" s="74"/>
      <c r="C19" s="74"/>
      <c r="D19" s="74"/>
      <c r="E19" s="74"/>
      <c r="F19" s="74"/>
      <c r="G19" s="74"/>
      <c r="H19" s="78"/>
      <c r="I19" s="78"/>
      <c r="J19" s="78"/>
      <c r="K19" s="78"/>
      <c r="L19" s="78"/>
      <c r="M19" s="78"/>
      <c r="N19" s="78"/>
      <c r="O19" s="78"/>
      <c r="P19" s="78"/>
      <c r="Q19" s="78"/>
      <c r="R19" s="78"/>
    </row>
    <row r="20" spans="1:21" s="77" customFormat="1" ht="39.75" customHeight="1" x14ac:dyDescent="0.2">
      <c r="A20" s="80" t="s">
        <v>2</v>
      </c>
      <c r="B20" s="81" t="s">
        <v>63</v>
      </c>
      <c r="C20" s="82" t="s">
        <v>62</v>
      </c>
      <c r="D20" s="83"/>
      <c r="E20" s="83"/>
      <c r="F20" s="83"/>
      <c r="G20" s="83"/>
      <c r="H20" s="84"/>
      <c r="I20" s="84"/>
      <c r="J20" s="84"/>
      <c r="K20" s="84"/>
      <c r="L20" s="84"/>
      <c r="M20" s="84"/>
      <c r="N20" s="84"/>
      <c r="O20" s="84"/>
      <c r="P20" s="84"/>
      <c r="Q20" s="84"/>
      <c r="R20" s="84"/>
      <c r="S20" s="85"/>
      <c r="T20" s="85"/>
      <c r="U20" s="85"/>
    </row>
    <row r="21" spans="1:21" s="77" customFormat="1" ht="16.5" customHeight="1" x14ac:dyDescent="0.2">
      <c r="A21" s="82">
        <v>1</v>
      </c>
      <c r="B21" s="81">
        <v>2</v>
      </c>
      <c r="C21" s="82">
        <v>3</v>
      </c>
      <c r="D21" s="83"/>
      <c r="E21" s="83"/>
      <c r="F21" s="83"/>
      <c r="G21" s="83"/>
      <c r="H21" s="84"/>
      <c r="I21" s="84"/>
      <c r="J21" s="84"/>
      <c r="K21" s="84"/>
      <c r="L21" s="84"/>
      <c r="M21" s="84"/>
      <c r="N21" s="84"/>
      <c r="O21" s="84"/>
      <c r="P21" s="84"/>
      <c r="Q21" s="84"/>
      <c r="R21" s="84"/>
      <c r="S21" s="85"/>
      <c r="T21" s="85"/>
      <c r="U21" s="85"/>
    </row>
    <row r="22" spans="1:21" s="77" customFormat="1" ht="31.5" x14ac:dyDescent="0.2">
      <c r="A22" s="86" t="s">
        <v>61</v>
      </c>
      <c r="B22" s="3" t="s">
        <v>349</v>
      </c>
      <c r="C22" s="405" t="s">
        <v>680</v>
      </c>
      <c r="D22" s="83"/>
      <c r="E22" s="83"/>
      <c r="F22" s="84"/>
      <c r="G22" s="84"/>
      <c r="H22" s="84"/>
      <c r="I22" s="84"/>
      <c r="J22" s="84"/>
      <c r="K22" s="84"/>
      <c r="L22" s="84"/>
      <c r="M22" s="84"/>
      <c r="N22" s="84"/>
      <c r="O22" s="84"/>
      <c r="P22" s="84"/>
      <c r="Q22" s="85"/>
      <c r="R22" s="85"/>
      <c r="S22" s="85"/>
      <c r="T22" s="85"/>
      <c r="U22" s="85"/>
    </row>
    <row r="23" spans="1:21" ht="78.75" x14ac:dyDescent="0.25">
      <c r="A23" s="86" t="s">
        <v>60</v>
      </c>
      <c r="B23" s="105" t="s">
        <v>57</v>
      </c>
      <c r="C23" s="406" t="s">
        <v>685</v>
      </c>
      <c r="D23" s="95"/>
      <c r="E23" s="95"/>
      <c r="F23" s="95"/>
      <c r="G23" s="95"/>
      <c r="H23" s="95"/>
      <c r="I23" s="95"/>
      <c r="J23" s="95"/>
      <c r="K23" s="95"/>
      <c r="L23" s="95"/>
      <c r="M23" s="95"/>
      <c r="N23" s="95"/>
      <c r="O23" s="95"/>
      <c r="P23" s="95"/>
      <c r="Q23" s="95"/>
      <c r="R23" s="95"/>
      <c r="S23" s="95"/>
      <c r="T23" s="95"/>
      <c r="U23" s="95"/>
    </row>
    <row r="24" spans="1:21" ht="94.5" x14ac:dyDescent="0.25">
      <c r="A24" s="86" t="s">
        <v>59</v>
      </c>
      <c r="B24" s="105" t="s">
        <v>368</v>
      </c>
      <c r="C24" s="406" t="s">
        <v>811</v>
      </c>
      <c r="D24" s="95"/>
      <c r="E24" s="95"/>
      <c r="F24" s="95"/>
      <c r="G24" s="95"/>
      <c r="H24" s="95"/>
      <c r="I24" s="95"/>
      <c r="J24" s="95"/>
      <c r="K24" s="95"/>
      <c r="L24" s="95"/>
      <c r="M24" s="95"/>
      <c r="N24" s="95"/>
      <c r="O24" s="95"/>
      <c r="P24" s="95"/>
      <c r="Q24" s="95"/>
      <c r="R24" s="95"/>
      <c r="S24" s="95"/>
      <c r="T24" s="95"/>
      <c r="U24" s="95"/>
    </row>
    <row r="25" spans="1:21" ht="31.5" x14ac:dyDescent="0.25">
      <c r="A25" s="86" t="s">
        <v>58</v>
      </c>
      <c r="B25" s="105" t="s">
        <v>369</v>
      </c>
      <c r="C25" s="407" t="s">
        <v>538</v>
      </c>
      <c r="D25" s="95"/>
      <c r="E25" s="95"/>
      <c r="F25" s="95"/>
      <c r="G25" s="95"/>
      <c r="H25" s="95"/>
      <c r="I25" s="95"/>
      <c r="J25" s="95"/>
      <c r="K25" s="95"/>
      <c r="L25" s="95"/>
      <c r="M25" s="95"/>
      <c r="N25" s="95"/>
      <c r="O25" s="95"/>
      <c r="P25" s="95"/>
      <c r="Q25" s="95"/>
      <c r="R25" s="95"/>
      <c r="S25" s="95"/>
      <c r="T25" s="95"/>
      <c r="U25" s="95"/>
    </row>
    <row r="26" spans="1:21" ht="31.5" x14ac:dyDescent="0.25">
      <c r="A26" s="86" t="s">
        <v>56</v>
      </c>
      <c r="B26" s="105" t="s">
        <v>200</v>
      </c>
      <c r="C26" s="406" t="s">
        <v>679</v>
      </c>
      <c r="D26" s="95"/>
      <c r="E26" s="95"/>
      <c r="F26" s="95"/>
      <c r="G26" s="95"/>
      <c r="H26" s="95"/>
      <c r="I26" s="95"/>
      <c r="J26" s="95"/>
      <c r="K26" s="95"/>
      <c r="L26" s="95"/>
      <c r="M26" s="95"/>
      <c r="N26" s="95"/>
      <c r="O26" s="95"/>
      <c r="P26" s="95"/>
      <c r="Q26" s="95"/>
      <c r="R26" s="95"/>
      <c r="S26" s="95"/>
      <c r="T26" s="95"/>
      <c r="U26" s="95"/>
    </row>
    <row r="27" spans="1:21" ht="378" x14ac:dyDescent="0.25">
      <c r="A27" s="86" t="s">
        <v>55</v>
      </c>
      <c r="B27" s="105" t="s">
        <v>350</v>
      </c>
      <c r="C27" s="406" t="s">
        <v>860</v>
      </c>
      <c r="D27" s="95"/>
      <c r="E27" s="95"/>
      <c r="F27" s="95"/>
      <c r="G27" s="95"/>
      <c r="H27" s="95"/>
      <c r="I27" s="95"/>
      <c r="J27" s="95"/>
      <c r="K27" s="95"/>
      <c r="L27" s="95"/>
      <c r="M27" s="95"/>
      <c r="N27" s="95"/>
      <c r="O27" s="95"/>
      <c r="P27" s="95"/>
      <c r="Q27" s="95"/>
      <c r="R27" s="95"/>
      <c r="S27" s="95"/>
      <c r="T27" s="95"/>
      <c r="U27" s="95"/>
    </row>
    <row r="28" spans="1:21" ht="15.75" x14ac:dyDescent="0.25">
      <c r="A28" s="86" t="s">
        <v>53</v>
      </c>
      <c r="B28" s="105" t="s">
        <v>54</v>
      </c>
      <c r="C28" s="406">
        <v>2021</v>
      </c>
      <c r="D28" s="95"/>
      <c r="E28" s="95"/>
      <c r="F28" s="95"/>
      <c r="G28" s="95"/>
      <c r="H28" s="95"/>
      <c r="I28" s="95"/>
      <c r="J28" s="95"/>
      <c r="K28" s="95"/>
      <c r="L28" s="95"/>
      <c r="M28" s="95"/>
      <c r="N28" s="95"/>
      <c r="O28" s="95"/>
      <c r="P28" s="95"/>
      <c r="Q28" s="95"/>
      <c r="R28" s="95"/>
      <c r="S28" s="95"/>
      <c r="T28" s="95"/>
      <c r="U28" s="95"/>
    </row>
    <row r="29" spans="1:21" ht="31.5" x14ac:dyDescent="0.25">
      <c r="A29" s="86" t="s">
        <v>51</v>
      </c>
      <c r="B29" s="80" t="s">
        <v>52</v>
      </c>
      <c r="C29" s="406">
        <v>2024</v>
      </c>
      <c r="D29" s="95"/>
      <c r="E29" s="95"/>
      <c r="F29" s="95"/>
      <c r="G29" s="95"/>
      <c r="H29" s="95"/>
      <c r="I29" s="95"/>
      <c r="J29" s="95"/>
      <c r="K29" s="95"/>
      <c r="L29" s="95"/>
      <c r="M29" s="95"/>
      <c r="N29" s="95"/>
      <c r="O29" s="95"/>
      <c r="P29" s="95"/>
      <c r="Q29" s="95"/>
      <c r="R29" s="95"/>
      <c r="S29" s="95"/>
      <c r="T29" s="95"/>
      <c r="U29" s="95"/>
    </row>
    <row r="30" spans="1:21" ht="31.5" x14ac:dyDescent="0.25">
      <c r="A30" s="86" t="s">
        <v>69</v>
      </c>
      <c r="B30" s="80" t="s">
        <v>50</v>
      </c>
      <c r="C30" s="406" t="s">
        <v>715</v>
      </c>
      <c r="D30" s="95"/>
      <c r="E30" s="95"/>
      <c r="F30" s="95"/>
      <c r="G30" s="95"/>
      <c r="H30" s="95"/>
      <c r="I30" s="95"/>
      <c r="J30" s="95"/>
      <c r="K30" s="95"/>
      <c r="L30" s="95"/>
      <c r="M30" s="95"/>
      <c r="N30" s="95"/>
      <c r="O30" s="95"/>
      <c r="P30" s="95"/>
      <c r="Q30" s="95"/>
      <c r="R30" s="95"/>
      <c r="S30" s="95"/>
      <c r="T30" s="95"/>
      <c r="U30" s="95"/>
    </row>
    <row r="31" spans="1:21" x14ac:dyDescent="0.25">
      <c r="A31" s="95"/>
      <c r="B31" s="95"/>
      <c r="C31" s="95"/>
      <c r="D31" s="95"/>
      <c r="E31" s="95"/>
      <c r="F31" s="95"/>
      <c r="G31" s="95"/>
      <c r="H31" s="95"/>
      <c r="I31" s="95"/>
      <c r="J31" s="95"/>
      <c r="K31" s="95"/>
      <c r="L31" s="95"/>
      <c r="M31" s="95"/>
      <c r="N31" s="95"/>
      <c r="O31" s="95"/>
      <c r="P31" s="95"/>
      <c r="Q31" s="95"/>
      <c r="R31" s="95"/>
      <c r="S31" s="95"/>
      <c r="T31" s="95"/>
      <c r="U31" s="95"/>
    </row>
    <row r="32" spans="1:21" x14ac:dyDescent="0.25">
      <c r="A32" s="95"/>
      <c r="B32" s="95"/>
      <c r="C32" s="95"/>
      <c r="D32" s="95"/>
      <c r="E32" s="95"/>
      <c r="F32" s="95"/>
      <c r="G32" s="95"/>
      <c r="H32" s="95"/>
      <c r="I32" s="95"/>
      <c r="J32" s="95"/>
      <c r="K32" s="95"/>
      <c r="L32" s="95"/>
      <c r="M32" s="95"/>
      <c r="N32" s="95"/>
      <c r="O32" s="95"/>
      <c r="P32" s="95"/>
      <c r="Q32" s="95"/>
      <c r="R32" s="95"/>
      <c r="S32" s="95"/>
      <c r="T32" s="95"/>
      <c r="U32" s="95"/>
    </row>
    <row r="33" spans="1:21" x14ac:dyDescent="0.25">
      <c r="A33" s="95"/>
      <c r="B33" s="95"/>
      <c r="C33" s="95"/>
      <c r="D33" s="95"/>
      <c r="E33" s="95"/>
      <c r="F33" s="95"/>
      <c r="G33" s="95"/>
      <c r="H33" s="95"/>
      <c r="I33" s="95"/>
      <c r="J33" s="95"/>
      <c r="K33" s="95"/>
      <c r="L33" s="95"/>
      <c r="M33" s="95"/>
      <c r="N33" s="95"/>
      <c r="O33" s="95"/>
      <c r="P33" s="95"/>
      <c r="Q33" s="95"/>
      <c r="R33" s="95"/>
      <c r="S33" s="95"/>
      <c r="T33" s="95"/>
      <c r="U33" s="95"/>
    </row>
    <row r="34" spans="1:21" x14ac:dyDescent="0.25">
      <c r="A34" s="95"/>
      <c r="B34" s="95"/>
      <c r="C34" s="95"/>
      <c r="D34" s="95"/>
      <c r="E34" s="95"/>
      <c r="F34" s="95"/>
      <c r="G34" s="95"/>
      <c r="H34" s="95"/>
      <c r="I34" s="95"/>
      <c r="J34" s="95"/>
      <c r="K34" s="95"/>
      <c r="L34" s="95"/>
      <c r="M34" s="95"/>
      <c r="N34" s="95"/>
      <c r="O34" s="95"/>
      <c r="P34" s="95"/>
      <c r="Q34" s="95"/>
      <c r="R34" s="95"/>
      <c r="S34" s="95"/>
      <c r="T34" s="95"/>
      <c r="U34" s="95"/>
    </row>
    <row r="35" spans="1:21" x14ac:dyDescent="0.25">
      <c r="A35" s="95"/>
      <c r="B35" s="95"/>
      <c r="C35" s="95"/>
      <c r="D35" s="95"/>
      <c r="E35" s="95"/>
      <c r="F35" s="95"/>
      <c r="G35" s="95"/>
      <c r="H35" s="95"/>
      <c r="I35" s="95"/>
      <c r="J35" s="95"/>
      <c r="K35" s="95"/>
      <c r="L35" s="95"/>
      <c r="M35" s="95"/>
      <c r="N35" s="95"/>
      <c r="O35" s="95"/>
      <c r="P35" s="95"/>
      <c r="Q35" s="95"/>
      <c r="R35" s="95"/>
      <c r="S35" s="95"/>
      <c r="T35" s="95"/>
      <c r="U35" s="95"/>
    </row>
    <row r="36" spans="1:21" x14ac:dyDescent="0.25">
      <c r="A36" s="95"/>
      <c r="B36" s="95"/>
      <c r="C36" s="95"/>
      <c r="D36" s="95"/>
      <c r="E36" s="95"/>
      <c r="F36" s="95"/>
      <c r="G36" s="95"/>
      <c r="H36" s="95"/>
      <c r="I36" s="95"/>
      <c r="J36" s="95"/>
      <c r="K36" s="95"/>
      <c r="L36" s="95"/>
      <c r="M36" s="95"/>
      <c r="N36" s="95"/>
      <c r="O36" s="95"/>
      <c r="P36" s="95"/>
      <c r="Q36" s="95"/>
      <c r="R36" s="95"/>
      <c r="S36" s="95"/>
      <c r="T36" s="95"/>
      <c r="U36" s="95"/>
    </row>
    <row r="37" spans="1:21" x14ac:dyDescent="0.25">
      <c r="A37" s="95"/>
      <c r="B37" s="95"/>
      <c r="C37" s="95"/>
      <c r="D37" s="95"/>
      <c r="E37" s="95"/>
      <c r="F37" s="95"/>
      <c r="G37" s="95"/>
      <c r="H37" s="95"/>
      <c r="I37" s="95"/>
      <c r="J37" s="95"/>
      <c r="K37" s="95"/>
      <c r="L37" s="95"/>
      <c r="M37" s="95"/>
      <c r="N37" s="95"/>
      <c r="O37" s="95"/>
      <c r="P37" s="95"/>
      <c r="Q37" s="95"/>
      <c r="R37" s="95"/>
      <c r="S37" s="95"/>
      <c r="T37" s="95"/>
      <c r="U37" s="95"/>
    </row>
    <row r="38" spans="1:21" x14ac:dyDescent="0.25">
      <c r="A38" s="95"/>
      <c r="B38" s="95"/>
      <c r="C38" s="95"/>
      <c r="D38" s="95"/>
      <c r="E38" s="95"/>
      <c r="F38" s="95"/>
      <c r="G38" s="95"/>
      <c r="H38" s="95"/>
      <c r="I38" s="95"/>
      <c r="J38" s="95"/>
      <c r="K38" s="95"/>
      <c r="L38" s="95"/>
      <c r="M38" s="95"/>
      <c r="N38" s="95"/>
      <c r="O38" s="95"/>
      <c r="P38" s="95"/>
      <c r="Q38" s="95"/>
      <c r="R38" s="95"/>
      <c r="S38" s="95"/>
      <c r="T38" s="95"/>
      <c r="U38" s="95"/>
    </row>
    <row r="39" spans="1:21" x14ac:dyDescent="0.25">
      <c r="A39" s="95"/>
      <c r="B39" s="95"/>
      <c r="C39" s="95"/>
      <c r="D39" s="95"/>
      <c r="E39" s="95"/>
      <c r="F39" s="95"/>
      <c r="G39" s="95"/>
      <c r="H39" s="95"/>
      <c r="I39" s="95"/>
      <c r="J39" s="95"/>
      <c r="K39" s="95"/>
      <c r="L39" s="95"/>
      <c r="M39" s="95"/>
      <c r="N39" s="95"/>
      <c r="O39" s="95"/>
      <c r="P39" s="95"/>
      <c r="Q39" s="95"/>
      <c r="R39" s="95"/>
      <c r="S39" s="95"/>
      <c r="T39" s="95"/>
      <c r="U39" s="95"/>
    </row>
    <row r="40" spans="1:21" x14ac:dyDescent="0.25">
      <c r="A40" s="95"/>
      <c r="B40" s="95"/>
      <c r="C40" s="95"/>
      <c r="D40" s="95"/>
      <c r="E40" s="95"/>
      <c r="F40" s="95"/>
      <c r="G40" s="95"/>
      <c r="H40" s="95"/>
      <c r="I40" s="95"/>
      <c r="J40" s="95"/>
      <c r="K40" s="95"/>
      <c r="L40" s="95"/>
      <c r="M40" s="95"/>
      <c r="N40" s="95"/>
      <c r="O40" s="95"/>
      <c r="P40" s="95"/>
      <c r="Q40" s="95"/>
      <c r="R40" s="95"/>
      <c r="S40" s="95"/>
      <c r="T40" s="95"/>
      <c r="U40" s="95"/>
    </row>
    <row r="41" spans="1:21" x14ac:dyDescent="0.25">
      <c r="A41" s="95"/>
      <c r="B41" s="95"/>
      <c r="C41" s="95"/>
      <c r="D41" s="95"/>
      <c r="E41" s="95"/>
      <c r="F41" s="95"/>
      <c r="G41" s="95"/>
      <c r="H41" s="95"/>
      <c r="I41" s="95"/>
      <c r="J41" s="95"/>
      <c r="K41" s="95"/>
      <c r="L41" s="95"/>
      <c r="M41" s="95"/>
      <c r="N41" s="95"/>
      <c r="O41" s="95"/>
      <c r="P41" s="95"/>
      <c r="Q41" s="95"/>
      <c r="R41" s="95"/>
      <c r="S41" s="95"/>
      <c r="T41" s="95"/>
      <c r="U41" s="95"/>
    </row>
    <row r="42" spans="1:21" x14ac:dyDescent="0.25">
      <c r="A42" s="95"/>
      <c r="B42" s="95"/>
      <c r="C42" s="95"/>
      <c r="D42" s="95"/>
      <c r="E42" s="95"/>
      <c r="F42" s="95"/>
      <c r="G42" s="95"/>
      <c r="H42" s="95"/>
      <c r="I42" s="95"/>
      <c r="J42" s="95"/>
      <c r="K42" s="95"/>
      <c r="L42" s="95"/>
      <c r="M42" s="95"/>
      <c r="N42" s="95"/>
      <c r="O42" s="95"/>
      <c r="P42" s="95"/>
      <c r="Q42" s="95"/>
      <c r="R42" s="95"/>
      <c r="S42" s="95"/>
      <c r="T42" s="95"/>
      <c r="U42" s="95"/>
    </row>
    <row r="43" spans="1:21" x14ac:dyDescent="0.25">
      <c r="A43" s="95"/>
      <c r="B43" s="95"/>
      <c r="C43" s="95"/>
      <c r="D43" s="95"/>
      <c r="E43" s="95"/>
      <c r="F43" s="95"/>
      <c r="G43" s="95"/>
      <c r="H43" s="95"/>
      <c r="I43" s="95"/>
      <c r="J43" s="95"/>
      <c r="K43" s="95"/>
      <c r="L43" s="95"/>
      <c r="M43" s="95"/>
      <c r="N43" s="95"/>
      <c r="O43" s="95"/>
      <c r="P43" s="95"/>
      <c r="Q43" s="95"/>
      <c r="R43" s="95"/>
      <c r="S43" s="95"/>
      <c r="T43" s="95"/>
      <c r="U43" s="95"/>
    </row>
    <row r="44" spans="1:21" x14ac:dyDescent="0.25">
      <c r="A44" s="95"/>
      <c r="B44" s="95"/>
      <c r="C44" s="95"/>
      <c r="D44" s="95"/>
      <c r="E44" s="95"/>
      <c r="F44" s="95"/>
      <c r="G44" s="95"/>
      <c r="H44" s="95"/>
      <c r="I44" s="95"/>
      <c r="J44" s="95"/>
      <c r="K44" s="95"/>
      <c r="L44" s="95"/>
      <c r="M44" s="95"/>
      <c r="N44" s="95"/>
      <c r="O44" s="95"/>
      <c r="P44" s="95"/>
      <c r="Q44" s="95"/>
      <c r="R44" s="95"/>
      <c r="S44" s="95"/>
      <c r="T44" s="95"/>
      <c r="U44" s="95"/>
    </row>
    <row r="45" spans="1:21" x14ac:dyDescent="0.25">
      <c r="A45" s="95"/>
      <c r="B45" s="95"/>
      <c r="C45" s="95"/>
      <c r="D45" s="95"/>
      <c r="E45" s="95"/>
      <c r="F45" s="95"/>
      <c r="G45" s="95"/>
      <c r="H45" s="95"/>
      <c r="I45" s="95"/>
      <c r="J45" s="95"/>
      <c r="K45" s="95"/>
      <c r="L45" s="95"/>
      <c r="M45" s="95"/>
      <c r="N45" s="95"/>
      <c r="O45" s="95"/>
      <c r="P45" s="95"/>
      <c r="Q45" s="95"/>
      <c r="R45" s="95"/>
      <c r="S45" s="95"/>
      <c r="T45" s="95"/>
      <c r="U45" s="95"/>
    </row>
    <row r="46" spans="1:21" x14ac:dyDescent="0.25">
      <c r="A46" s="95"/>
      <c r="B46" s="95"/>
      <c r="C46" s="95"/>
      <c r="D46" s="95"/>
      <c r="E46" s="95"/>
      <c r="F46" s="95"/>
      <c r="G46" s="95"/>
      <c r="H46" s="95"/>
      <c r="I46" s="95"/>
      <c r="J46" s="95"/>
      <c r="K46" s="95"/>
      <c r="L46" s="95"/>
      <c r="M46" s="95"/>
      <c r="N46" s="95"/>
      <c r="O46" s="95"/>
      <c r="P46" s="95"/>
      <c r="Q46" s="95"/>
      <c r="R46" s="95"/>
      <c r="S46" s="95"/>
      <c r="T46" s="95"/>
      <c r="U46" s="95"/>
    </row>
    <row r="47" spans="1:21" x14ac:dyDescent="0.25">
      <c r="A47" s="95"/>
      <c r="B47" s="95"/>
      <c r="C47" s="95"/>
      <c r="D47" s="95"/>
      <c r="E47" s="95"/>
      <c r="F47" s="95"/>
      <c r="G47" s="95"/>
      <c r="H47" s="95"/>
      <c r="I47" s="95"/>
      <c r="J47" s="95"/>
      <c r="K47" s="95"/>
      <c r="L47" s="95"/>
      <c r="M47" s="95"/>
      <c r="N47" s="95"/>
      <c r="O47" s="95"/>
      <c r="P47" s="95"/>
      <c r="Q47" s="95"/>
      <c r="R47" s="95"/>
      <c r="S47" s="95"/>
      <c r="T47" s="95"/>
      <c r="U47" s="95"/>
    </row>
    <row r="48" spans="1:21" x14ac:dyDescent="0.25">
      <c r="A48" s="95"/>
      <c r="B48" s="95"/>
      <c r="C48" s="95"/>
      <c r="D48" s="95"/>
      <c r="E48" s="95"/>
      <c r="F48" s="95"/>
      <c r="G48" s="95"/>
      <c r="H48" s="95"/>
      <c r="I48" s="95"/>
      <c r="J48" s="95"/>
      <c r="K48" s="95"/>
      <c r="L48" s="95"/>
      <c r="M48" s="95"/>
      <c r="N48" s="95"/>
      <c r="O48" s="95"/>
      <c r="P48" s="95"/>
      <c r="Q48" s="95"/>
      <c r="R48" s="95"/>
      <c r="S48" s="95"/>
      <c r="T48" s="95"/>
      <c r="U48" s="95"/>
    </row>
    <row r="49" spans="1:21" x14ac:dyDescent="0.25">
      <c r="A49" s="95"/>
      <c r="B49" s="95"/>
      <c r="C49" s="95"/>
      <c r="D49" s="95"/>
      <c r="E49" s="95"/>
      <c r="F49" s="95"/>
      <c r="G49" s="95"/>
      <c r="H49" s="95"/>
      <c r="I49" s="95"/>
      <c r="J49" s="95"/>
      <c r="K49" s="95"/>
      <c r="L49" s="95"/>
      <c r="M49" s="95"/>
      <c r="N49" s="95"/>
      <c r="O49" s="95"/>
      <c r="P49" s="95"/>
      <c r="Q49" s="95"/>
      <c r="R49" s="95"/>
      <c r="S49" s="95"/>
      <c r="T49" s="95"/>
      <c r="U49" s="95"/>
    </row>
    <row r="50" spans="1:21" x14ac:dyDescent="0.25">
      <c r="A50" s="95"/>
      <c r="B50" s="95"/>
      <c r="C50" s="95"/>
      <c r="D50" s="95"/>
      <c r="E50" s="95"/>
      <c r="F50" s="95"/>
      <c r="G50" s="95"/>
      <c r="H50" s="95"/>
      <c r="I50" s="95"/>
      <c r="J50" s="95"/>
      <c r="K50" s="95"/>
      <c r="L50" s="95"/>
      <c r="M50" s="95"/>
      <c r="N50" s="95"/>
      <c r="O50" s="95"/>
      <c r="P50" s="95"/>
      <c r="Q50" s="95"/>
      <c r="R50" s="95"/>
      <c r="S50" s="95"/>
      <c r="T50" s="95"/>
      <c r="U50" s="95"/>
    </row>
    <row r="51" spans="1:21" x14ac:dyDescent="0.25">
      <c r="A51" s="95"/>
      <c r="B51" s="95"/>
      <c r="C51" s="95"/>
      <c r="D51" s="95"/>
      <c r="E51" s="95"/>
      <c r="F51" s="95"/>
      <c r="G51" s="95"/>
      <c r="H51" s="95"/>
      <c r="I51" s="95"/>
      <c r="J51" s="95"/>
      <c r="K51" s="95"/>
      <c r="L51" s="95"/>
      <c r="M51" s="95"/>
      <c r="N51" s="95"/>
      <c r="O51" s="95"/>
      <c r="P51" s="95"/>
      <c r="Q51" s="95"/>
      <c r="R51" s="95"/>
      <c r="S51" s="95"/>
      <c r="T51" s="95"/>
      <c r="U51" s="95"/>
    </row>
    <row r="52" spans="1:21" x14ac:dyDescent="0.25">
      <c r="A52" s="95"/>
      <c r="B52" s="95"/>
      <c r="C52" s="95"/>
      <c r="D52" s="95"/>
      <c r="E52" s="95"/>
      <c r="F52" s="95"/>
      <c r="G52" s="95"/>
      <c r="H52" s="95"/>
      <c r="I52" s="95"/>
      <c r="J52" s="95"/>
      <c r="K52" s="95"/>
      <c r="L52" s="95"/>
      <c r="M52" s="95"/>
      <c r="N52" s="95"/>
      <c r="O52" s="95"/>
      <c r="P52" s="95"/>
      <c r="Q52" s="95"/>
      <c r="R52" s="95"/>
      <c r="S52" s="95"/>
      <c r="T52" s="95"/>
      <c r="U52" s="95"/>
    </row>
    <row r="53" spans="1:21" x14ac:dyDescent="0.25">
      <c r="A53" s="95"/>
      <c r="B53" s="95"/>
      <c r="C53" s="95"/>
      <c r="D53" s="95"/>
      <c r="E53" s="95"/>
      <c r="F53" s="95"/>
      <c r="G53" s="95"/>
      <c r="H53" s="95"/>
      <c r="I53" s="95"/>
      <c r="J53" s="95"/>
      <c r="K53" s="95"/>
      <c r="L53" s="95"/>
      <c r="M53" s="95"/>
      <c r="N53" s="95"/>
      <c r="O53" s="95"/>
      <c r="P53" s="95"/>
      <c r="Q53" s="95"/>
      <c r="R53" s="95"/>
      <c r="S53" s="95"/>
      <c r="T53" s="95"/>
      <c r="U53" s="95"/>
    </row>
    <row r="54" spans="1:21" x14ac:dyDescent="0.25">
      <c r="A54" s="95"/>
      <c r="B54" s="95"/>
      <c r="C54" s="95"/>
      <c r="D54" s="95"/>
      <c r="E54" s="95"/>
      <c r="F54" s="95"/>
      <c r="G54" s="95"/>
      <c r="H54" s="95"/>
      <c r="I54" s="95"/>
      <c r="J54" s="95"/>
      <c r="K54" s="95"/>
      <c r="L54" s="95"/>
      <c r="M54" s="95"/>
      <c r="N54" s="95"/>
      <c r="O54" s="95"/>
      <c r="P54" s="95"/>
      <c r="Q54" s="95"/>
      <c r="R54" s="95"/>
      <c r="S54" s="95"/>
      <c r="T54" s="95"/>
      <c r="U54" s="95"/>
    </row>
    <row r="55" spans="1:21" x14ac:dyDescent="0.25">
      <c r="A55" s="95"/>
      <c r="B55" s="95"/>
      <c r="C55" s="95"/>
      <c r="D55" s="95"/>
      <c r="E55" s="95"/>
      <c r="F55" s="95"/>
      <c r="G55" s="95"/>
      <c r="H55" s="95"/>
      <c r="I55" s="95"/>
      <c r="J55" s="95"/>
      <c r="K55" s="95"/>
      <c r="L55" s="95"/>
      <c r="M55" s="95"/>
      <c r="N55" s="95"/>
      <c r="O55" s="95"/>
      <c r="P55" s="95"/>
      <c r="Q55" s="95"/>
      <c r="R55" s="95"/>
      <c r="S55" s="95"/>
      <c r="T55" s="95"/>
      <c r="U55" s="95"/>
    </row>
    <row r="56" spans="1:21" x14ac:dyDescent="0.25">
      <c r="A56" s="95"/>
      <c r="B56" s="95"/>
      <c r="C56" s="95"/>
      <c r="D56" s="95"/>
      <c r="E56" s="95"/>
      <c r="F56" s="95"/>
      <c r="G56" s="95"/>
      <c r="H56" s="95"/>
      <c r="I56" s="95"/>
      <c r="J56" s="95"/>
      <c r="K56" s="95"/>
      <c r="L56" s="95"/>
      <c r="M56" s="95"/>
      <c r="N56" s="95"/>
      <c r="O56" s="95"/>
      <c r="P56" s="95"/>
      <c r="Q56" s="95"/>
      <c r="R56" s="95"/>
      <c r="S56" s="95"/>
      <c r="T56" s="95"/>
      <c r="U56" s="95"/>
    </row>
    <row r="57" spans="1:21" x14ac:dyDescent="0.25">
      <c r="A57" s="95"/>
      <c r="B57" s="95"/>
      <c r="C57" s="95"/>
      <c r="D57" s="95"/>
      <c r="E57" s="95"/>
      <c r="F57" s="95"/>
      <c r="G57" s="95"/>
      <c r="H57" s="95"/>
      <c r="I57" s="95"/>
      <c r="J57" s="95"/>
      <c r="K57" s="95"/>
      <c r="L57" s="95"/>
      <c r="M57" s="95"/>
      <c r="N57" s="95"/>
      <c r="O57" s="95"/>
      <c r="P57" s="95"/>
      <c r="Q57" s="95"/>
      <c r="R57" s="95"/>
      <c r="S57" s="95"/>
      <c r="T57" s="95"/>
      <c r="U57" s="95"/>
    </row>
    <row r="58" spans="1:21" x14ac:dyDescent="0.25">
      <c r="A58" s="95"/>
      <c r="B58" s="95"/>
      <c r="C58" s="95"/>
      <c r="D58" s="95"/>
      <c r="E58" s="95"/>
      <c r="F58" s="95"/>
      <c r="G58" s="95"/>
      <c r="H58" s="95"/>
      <c r="I58" s="95"/>
      <c r="J58" s="95"/>
      <c r="K58" s="95"/>
      <c r="L58" s="95"/>
      <c r="M58" s="95"/>
      <c r="N58" s="95"/>
      <c r="O58" s="95"/>
      <c r="P58" s="95"/>
      <c r="Q58" s="95"/>
      <c r="R58" s="95"/>
      <c r="S58" s="95"/>
      <c r="T58" s="95"/>
      <c r="U58" s="95"/>
    </row>
    <row r="59" spans="1:21" x14ac:dyDescent="0.25">
      <c r="A59" s="95"/>
      <c r="B59" s="95"/>
      <c r="C59" s="95"/>
      <c r="D59" s="95"/>
      <c r="E59" s="95"/>
      <c r="F59" s="95"/>
      <c r="G59" s="95"/>
      <c r="H59" s="95"/>
      <c r="I59" s="95"/>
      <c r="J59" s="95"/>
      <c r="K59" s="95"/>
      <c r="L59" s="95"/>
      <c r="M59" s="95"/>
      <c r="N59" s="95"/>
      <c r="O59" s="95"/>
      <c r="P59" s="95"/>
      <c r="Q59" s="95"/>
      <c r="R59" s="95"/>
      <c r="S59" s="95"/>
      <c r="T59" s="95"/>
      <c r="U59" s="95"/>
    </row>
    <row r="60" spans="1:21" x14ac:dyDescent="0.25">
      <c r="A60" s="95"/>
      <c r="B60" s="95"/>
      <c r="C60" s="95"/>
      <c r="D60" s="95"/>
      <c r="E60" s="95"/>
      <c r="F60" s="95"/>
      <c r="G60" s="95"/>
      <c r="H60" s="95"/>
      <c r="I60" s="95"/>
      <c r="J60" s="95"/>
      <c r="K60" s="95"/>
      <c r="L60" s="95"/>
      <c r="M60" s="95"/>
      <c r="N60" s="95"/>
      <c r="O60" s="95"/>
      <c r="P60" s="95"/>
      <c r="Q60" s="95"/>
      <c r="R60" s="95"/>
      <c r="S60" s="95"/>
      <c r="T60" s="95"/>
      <c r="U60" s="95"/>
    </row>
    <row r="61" spans="1:21" x14ac:dyDescent="0.25">
      <c r="A61" s="95"/>
      <c r="B61" s="95"/>
      <c r="C61" s="95"/>
      <c r="D61" s="95"/>
      <c r="E61" s="95"/>
      <c r="F61" s="95"/>
      <c r="G61" s="95"/>
      <c r="H61" s="95"/>
      <c r="I61" s="95"/>
      <c r="J61" s="95"/>
      <c r="K61" s="95"/>
      <c r="L61" s="95"/>
      <c r="M61" s="95"/>
      <c r="N61" s="95"/>
      <c r="O61" s="95"/>
      <c r="P61" s="95"/>
      <c r="Q61" s="95"/>
      <c r="R61" s="95"/>
      <c r="S61" s="95"/>
      <c r="T61" s="95"/>
      <c r="U61" s="95"/>
    </row>
    <row r="62" spans="1:21" x14ac:dyDescent="0.25">
      <c r="A62" s="95"/>
      <c r="B62" s="95"/>
      <c r="C62" s="95"/>
      <c r="D62" s="95"/>
      <c r="E62" s="95"/>
      <c r="F62" s="95"/>
      <c r="G62" s="95"/>
      <c r="H62" s="95"/>
      <c r="I62" s="95"/>
      <c r="J62" s="95"/>
      <c r="K62" s="95"/>
      <c r="L62" s="95"/>
      <c r="M62" s="95"/>
      <c r="N62" s="95"/>
      <c r="O62" s="95"/>
      <c r="P62" s="95"/>
      <c r="Q62" s="95"/>
      <c r="R62" s="95"/>
      <c r="S62" s="95"/>
      <c r="T62" s="95"/>
      <c r="U62" s="95"/>
    </row>
    <row r="63" spans="1:21" x14ac:dyDescent="0.25">
      <c r="A63" s="95"/>
      <c r="B63" s="95"/>
      <c r="C63" s="95"/>
      <c r="D63" s="95"/>
      <c r="E63" s="95"/>
      <c r="F63" s="95"/>
      <c r="G63" s="95"/>
      <c r="H63" s="95"/>
      <c r="I63" s="95"/>
      <c r="J63" s="95"/>
      <c r="K63" s="95"/>
      <c r="L63" s="95"/>
      <c r="M63" s="95"/>
      <c r="N63" s="95"/>
      <c r="O63" s="95"/>
      <c r="P63" s="95"/>
      <c r="Q63" s="95"/>
      <c r="R63" s="95"/>
      <c r="S63" s="95"/>
      <c r="T63" s="95"/>
      <c r="U63" s="95"/>
    </row>
    <row r="64" spans="1:21" x14ac:dyDescent="0.25">
      <c r="A64" s="95"/>
      <c r="B64" s="95"/>
      <c r="C64" s="95"/>
      <c r="D64" s="95"/>
      <c r="E64" s="95"/>
      <c r="F64" s="95"/>
      <c r="G64" s="95"/>
      <c r="H64" s="95"/>
      <c r="I64" s="95"/>
      <c r="J64" s="95"/>
      <c r="K64" s="95"/>
      <c r="L64" s="95"/>
      <c r="M64" s="95"/>
      <c r="N64" s="95"/>
      <c r="O64" s="95"/>
      <c r="P64" s="95"/>
      <c r="Q64" s="95"/>
      <c r="R64" s="95"/>
      <c r="S64" s="95"/>
      <c r="T64" s="95"/>
      <c r="U64" s="95"/>
    </row>
    <row r="65" spans="1:21" x14ac:dyDescent="0.25">
      <c r="A65" s="95"/>
      <c r="B65" s="95"/>
      <c r="C65" s="95"/>
      <c r="D65" s="95"/>
      <c r="E65" s="95"/>
      <c r="F65" s="95"/>
      <c r="G65" s="95"/>
      <c r="H65" s="95"/>
      <c r="I65" s="95"/>
      <c r="J65" s="95"/>
      <c r="K65" s="95"/>
      <c r="L65" s="95"/>
      <c r="M65" s="95"/>
      <c r="N65" s="95"/>
      <c r="O65" s="95"/>
      <c r="P65" s="95"/>
      <c r="Q65" s="95"/>
      <c r="R65" s="95"/>
      <c r="S65" s="95"/>
      <c r="T65" s="95"/>
      <c r="U65" s="95"/>
    </row>
    <row r="66" spans="1:21" x14ac:dyDescent="0.25">
      <c r="A66" s="95"/>
      <c r="B66" s="95"/>
      <c r="C66" s="95"/>
      <c r="D66" s="95"/>
      <c r="E66" s="95"/>
      <c r="F66" s="95"/>
      <c r="G66" s="95"/>
      <c r="H66" s="95"/>
      <c r="I66" s="95"/>
      <c r="J66" s="95"/>
      <c r="K66" s="95"/>
      <c r="L66" s="95"/>
      <c r="M66" s="95"/>
      <c r="N66" s="95"/>
      <c r="O66" s="95"/>
      <c r="P66" s="95"/>
      <c r="Q66" s="95"/>
      <c r="R66" s="95"/>
      <c r="S66" s="95"/>
      <c r="T66" s="95"/>
      <c r="U66" s="95"/>
    </row>
    <row r="67" spans="1:21" x14ac:dyDescent="0.25">
      <c r="A67" s="95"/>
      <c r="B67" s="95"/>
      <c r="C67" s="95"/>
      <c r="D67" s="95"/>
      <c r="E67" s="95"/>
      <c r="F67" s="95"/>
      <c r="G67" s="95"/>
      <c r="H67" s="95"/>
      <c r="I67" s="95"/>
      <c r="J67" s="95"/>
      <c r="K67" s="95"/>
      <c r="L67" s="95"/>
      <c r="M67" s="95"/>
      <c r="N67" s="95"/>
      <c r="O67" s="95"/>
      <c r="P67" s="95"/>
      <c r="Q67" s="95"/>
      <c r="R67" s="95"/>
      <c r="S67" s="95"/>
      <c r="T67" s="95"/>
      <c r="U67" s="95"/>
    </row>
    <row r="68" spans="1:21" x14ac:dyDescent="0.25">
      <c r="A68" s="95"/>
      <c r="B68" s="95"/>
      <c r="C68" s="95"/>
      <c r="D68" s="95"/>
      <c r="E68" s="95"/>
      <c r="F68" s="95"/>
      <c r="G68" s="95"/>
      <c r="H68" s="95"/>
      <c r="I68" s="95"/>
      <c r="J68" s="95"/>
      <c r="K68" s="95"/>
      <c r="L68" s="95"/>
      <c r="M68" s="95"/>
      <c r="N68" s="95"/>
      <c r="O68" s="95"/>
      <c r="P68" s="95"/>
      <c r="Q68" s="95"/>
      <c r="R68" s="95"/>
      <c r="S68" s="95"/>
      <c r="T68" s="95"/>
      <c r="U68" s="95"/>
    </row>
    <row r="69" spans="1:21" x14ac:dyDescent="0.25">
      <c r="A69" s="95"/>
      <c r="B69" s="95"/>
      <c r="C69" s="95"/>
      <c r="D69" s="95"/>
      <c r="E69" s="95"/>
      <c r="F69" s="95"/>
      <c r="G69" s="95"/>
      <c r="H69" s="95"/>
      <c r="I69" s="95"/>
      <c r="J69" s="95"/>
      <c r="K69" s="95"/>
      <c r="L69" s="95"/>
      <c r="M69" s="95"/>
      <c r="N69" s="95"/>
      <c r="O69" s="95"/>
      <c r="P69" s="95"/>
      <c r="Q69" s="95"/>
      <c r="R69" s="95"/>
      <c r="S69" s="95"/>
      <c r="T69" s="95"/>
      <c r="U69" s="95"/>
    </row>
    <row r="70" spans="1:21" x14ac:dyDescent="0.25">
      <c r="A70" s="95"/>
      <c r="B70" s="95"/>
      <c r="C70" s="95"/>
      <c r="D70" s="95"/>
      <c r="E70" s="95"/>
      <c r="F70" s="95"/>
      <c r="G70" s="95"/>
      <c r="H70" s="95"/>
      <c r="I70" s="95"/>
      <c r="J70" s="95"/>
      <c r="K70" s="95"/>
      <c r="L70" s="95"/>
      <c r="M70" s="95"/>
      <c r="N70" s="95"/>
      <c r="O70" s="95"/>
      <c r="P70" s="95"/>
      <c r="Q70" s="95"/>
      <c r="R70" s="95"/>
      <c r="S70" s="95"/>
      <c r="T70" s="95"/>
      <c r="U70" s="95"/>
    </row>
    <row r="71" spans="1:21" x14ac:dyDescent="0.25">
      <c r="A71" s="95"/>
      <c r="B71" s="95"/>
      <c r="C71" s="95"/>
      <c r="D71" s="95"/>
      <c r="E71" s="95"/>
      <c r="F71" s="95"/>
      <c r="G71" s="95"/>
      <c r="H71" s="95"/>
      <c r="I71" s="95"/>
      <c r="J71" s="95"/>
      <c r="K71" s="95"/>
      <c r="L71" s="95"/>
      <c r="M71" s="95"/>
      <c r="N71" s="95"/>
      <c r="O71" s="95"/>
      <c r="P71" s="95"/>
      <c r="Q71" s="95"/>
      <c r="R71" s="95"/>
      <c r="S71" s="95"/>
      <c r="T71" s="95"/>
      <c r="U71" s="95"/>
    </row>
    <row r="72" spans="1:21" x14ac:dyDescent="0.25">
      <c r="A72" s="95"/>
      <c r="B72" s="95"/>
      <c r="C72" s="95"/>
      <c r="D72" s="95"/>
      <c r="E72" s="95"/>
      <c r="F72" s="95"/>
      <c r="G72" s="95"/>
      <c r="H72" s="95"/>
      <c r="I72" s="95"/>
      <c r="J72" s="95"/>
      <c r="K72" s="95"/>
      <c r="L72" s="95"/>
      <c r="M72" s="95"/>
      <c r="N72" s="95"/>
      <c r="O72" s="95"/>
      <c r="P72" s="95"/>
      <c r="Q72" s="95"/>
      <c r="R72" s="95"/>
      <c r="S72" s="95"/>
      <c r="T72" s="95"/>
      <c r="U72" s="95"/>
    </row>
    <row r="73" spans="1:21" x14ac:dyDescent="0.25">
      <c r="A73" s="95"/>
      <c r="B73" s="95"/>
      <c r="C73" s="95"/>
      <c r="D73" s="95"/>
      <c r="E73" s="95"/>
      <c r="F73" s="95"/>
      <c r="G73" s="95"/>
      <c r="H73" s="95"/>
      <c r="I73" s="95"/>
      <c r="J73" s="95"/>
      <c r="K73" s="95"/>
      <c r="L73" s="95"/>
      <c r="M73" s="95"/>
      <c r="N73" s="95"/>
      <c r="O73" s="95"/>
      <c r="P73" s="95"/>
      <c r="Q73" s="95"/>
      <c r="R73" s="95"/>
      <c r="S73" s="95"/>
      <c r="T73" s="95"/>
      <c r="U73" s="95"/>
    </row>
    <row r="74" spans="1:21" x14ac:dyDescent="0.25">
      <c r="A74" s="95"/>
      <c r="B74" s="95"/>
      <c r="C74" s="95"/>
      <c r="D74" s="95"/>
      <c r="E74" s="95"/>
      <c r="F74" s="95"/>
      <c r="G74" s="95"/>
      <c r="H74" s="95"/>
      <c r="I74" s="95"/>
      <c r="J74" s="95"/>
      <c r="K74" s="95"/>
      <c r="L74" s="95"/>
      <c r="M74" s="95"/>
      <c r="N74" s="95"/>
      <c r="O74" s="95"/>
      <c r="P74" s="95"/>
      <c r="Q74" s="95"/>
      <c r="R74" s="95"/>
      <c r="S74" s="95"/>
      <c r="T74" s="95"/>
      <c r="U74" s="95"/>
    </row>
    <row r="75" spans="1:21" x14ac:dyDescent="0.25">
      <c r="A75" s="95"/>
      <c r="B75" s="95"/>
      <c r="C75" s="95"/>
      <c r="D75" s="95"/>
      <c r="E75" s="95"/>
      <c r="F75" s="95"/>
      <c r="G75" s="95"/>
      <c r="H75" s="95"/>
      <c r="I75" s="95"/>
      <c r="J75" s="95"/>
      <c r="K75" s="95"/>
      <c r="L75" s="95"/>
      <c r="M75" s="95"/>
      <c r="N75" s="95"/>
      <c r="O75" s="95"/>
      <c r="P75" s="95"/>
      <c r="Q75" s="95"/>
      <c r="R75" s="95"/>
      <c r="S75" s="95"/>
      <c r="T75" s="95"/>
      <c r="U75" s="95"/>
    </row>
    <row r="76" spans="1:21" x14ac:dyDescent="0.25">
      <c r="A76" s="95"/>
      <c r="B76" s="95"/>
      <c r="C76" s="95"/>
      <c r="D76" s="95"/>
      <c r="E76" s="95"/>
      <c r="F76" s="95"/>
      <c r="G76" s="95"/>
      <c r="H76" s="95"/>
      <c r="I76" s="95"/>
      <c r="J76" s="95"/>
      <c r="K76" s="95"/>
      <c r="L76" s="95"/>
      <c r="M76" s="95"/>
      <c r="N76" s="95"/>
      <c r="O76" s="95"/>
      <c r="P76" s="95"/>
      <c r="Q76" s="95"/>
      <c r="R76" s="95"/>
      <c r="S76" s="95"/>
      <c r="T76" s="95"/>
      <c r="U76" s="95"/>
    </row>
    <row r="77" spans="1:21" x14ac:dyDescent="0.25">
      <c r="A77" s="95"/>
      <c r="B77" s="95"/>
      <c r="C77" s="95"/>
      <c r="D77" s="95"/>
      <c r="E77" s="95"/>
      <c r="F77" s="95"/>
      <c r="G77" s="95"/>
      <c r="H77" s="95"/>
      <c r="I77" s="95"/>
      <c r="J77" s="95"/>
      <c r="K77" s="95"/>
      <c r="L77" s="95"/>
      <c r="M77" s="95"/>
      <c r="N77" s="95"/>
      <c r="O77" s="95"/>
      <c r="P77" s="95"/>
      <c r="Q77" s="95"/>
      <c r="R77" s="95"/>
      <c r="S77" s="95"/>
      <c r="T77" s="95"/>
      <c r="U77" s="95"/>
    </row>
    <row r="78" spans="1:21" x14ac:dyDescent="0.25">
      <c r="A78" s="95"/>
      <c r="B78" s="95"/>
      <c r="C78" s="95"/>
      <c r="D78" s="95"/>
      <c r="E78" s="95"/>
      <c r="F78" s="95"/>
      <c r="G78" s="95"/>
      <c r="H78" s="95"/>
      <c r="I78" s="95"/>
      <c r="J78" s="95"/>
      <c r="K78" s="95"/>
      <c r="L78" s="95"/>
      <c r="M78" s="95"/>
      <c r="N78" s="95"/>
      <c r="O78" s="95"/>
      <c r="P78" s="95"/>
      <c r="Q78" s="95"/>
      <c r="R78" s="95"/>
      <c r="S78" s="95"/>
      <c r="T78" s="95"/>
      <c r="U78" s="95"/>
    </row>
    <row r="79" spans="1:21" x14ac:dyDescent="0.25">
      <c r="A79" s="95"/>
      <c r="B79" s="95"/>
      <c r="C79" s="95"/>
      <c r="D79" s="95"/>
      <c r="E79" s="95"/>
      <c r="F79" s="95"/>
      <c r="G79" s="95"/>
      <c r="H79" s="95"/>
      <c r="I79" s="95"/>
      <c r="J79" s="95"/>
      <c r="K79" s="95"/>
      <c r="L79" s="95"/>
      <c r="M79" s="95"/>
      <c r="N79" s="95"/>
      <c r="O79" s="95"/>
      <c r="P79" s="95"/>
      <c r="Q79" s="95"/>
      <c r="R79" s="95"/>
      <c r="S79" s="95"/>
      <c r="T79" s="95"/>
      <c r="U79" s="95"/>
    </row>
    <row r="80" spans="1:21" x14ac:dyDescent="0.25">
      <c r="A80" s="95"/>
      <c r="B80" s="95"/>
      <c r="C80" s="95"/>
      <c r="D80" s="95"/>
      <c r="E80" s="95"/>
      <c r="F80" s="95"/>
      <c r="G80" s="95"/>
      <c r="H80" s="95"/>
      <c r="I80" s="95"/>
      <c r="J80" s="95"/>
      <c r="K80" s="95"/>
      <c r="L80" s="95"/>
      <c r="M80" s="95"/>
      <c r="N80" s="95"/>
      <c r="O80" s="95"/>
      <c r="P80" s="95"/>
      <c r="Q80" s="95"/>
      <c r="R80" s="95"/>
      <c r="S80" s="95"/>
      <c r="T80" s="95"/>
      <c r="U80" s="95"/>
    </row>
    <row r="81" spans="1:21" x14ac:dyDescent="0.25">
      <c r="A81" s="95"/>
      <c r="B81" s="95"/>
      <c r="C81" s="95"/>
      <c r="D81" s="95"/>
      <c r="E81" s="95"/>
      <c r="F81" s="95"/>
      <c r="G81" s="95"/>
      <c r="H81" s="95"/>
      <c r="I81" s="95"/>
      <c r="J81" s="95"/>
      <c r="K81" s="95"/>
      <c r="L81" s="95"/>
      <c r="M81" s="95"/>
      <c r="N81" s="95"/>
      <c r="O81" s="95"/>
      <c r="P81" s="95"/>
      <c r="Q81" s="95"/>
      <c r="R81" s="95"/>
      <c r="S81" s="95"/>
      <c r="T81" s="95"/>
      <c r="U81" s="95"/>
    </row>
    <row r="82" spans="1:21" x14ac:dyDescent="0.25">
      <c r="A82" s="95"/>
      <c r="B82" s="95"/>
      <c r="C82" s="95"/>
      <c r="D82" s="95"/>
      <c r="E82" s="95"/>
      <c r="F82" s="95"/>
      <c r="G82" s="95"/>
      <c r="H82" s="95"/>
      <c r="I82" s="95"/>
      <c r="J82" s="95"/>
      <c r="K82" s="95"/>
      <c r="L82" s="95"/>
      <c r="M82" s="95"/>
      <c r="N82" s="95"/>
      <c r="O82" s="95"/>
      <c r="P82" s="95"/>
      <c r="Q82" s="95"/>
      <c r="R82" s="95"/>
      <c r="S82" s="95"/>
      <c r="T82" s="95"/>
      <c r="U82" s="95"/>
    </row>
    <row r="83" spans="1:21" x14ac:dyDescent="0.25">
      <c r="A83" s="95"/>
      <c r="B83" s="95"/>
      <c r="C83" s="95"/>
      <c r="D83" s="95"/>
      <c r="E83" s="95"/>
      <c r="F83" s="95"/>
      <c r="G83" s="95"/>
      <c r="H83" s="95"/>
      <c r="I83" s="95"/>
      <c r="J83" s="95"/>
      <c r="K83" s="95"/>
      <c r="L83" s="95"/>
      <c r="M83" s="95"/>
      <c r="N83" s="95"/>
      <c r="O83" s="95"/>
      <c r="P83" s="95"/>
      <c r="Q83" s="95"/>
      <c r="R83" s="95"/>
      <c r="S83" s="95"/>
      <c r="T83" s="95"/>
      <c r="U83" s="95"/>
    </row>
    <row r="84" spans="1:21" x14ac:dyDescent="0.25">
      <c r="A84" s="95"/>
      <c r="B84" s="95"/>
      <c r="C84" s="95"/>
      <c r="D84" s="95"/>
      <c r="E84" s="95"/>
      <c r="F84" s="95"/>
      <c r="G84" s="95"/>
      <c r="H84" s="95"/>
      <c r="I84" s="95"/>
      <c r="J84" s="95"/>
      <c r="K84" s="95"/>
      <c r="L84" s="95"/>
      <c r="M84" s="95"/>
      <c r="N84" s="95"/>
      <c r="O84" s="95"/>
      <c r="P84" s="95"/>
      <c r="Q84" s="95"/>
      <c r="R84" s="95"/>
      <c r="S84" s="95"/>
      <c r="T84" s="95"/>
      <c r="U84" s="95"/>
    </row>
    <row r="85" spans="1:21" x14ac:dyDescent="0.25">
      <c r="A85" s="95"/>
      <c r="B85" s="95"/>
      <c r="C85" s="95"/>
      <c r="D85" s="95"/>
      <c r="E85" s="95"/>
      <c r="F85" s="95"/>
      <c r="G85" s="95"/>
      <c r="H85" s="95"/>
      <c r="I85" s="95"/>
      <c r="J85" s="95"/>
      <c r="K85" s="95"/>
      <c r="L85" s="95"/>
      <c r="M85" s="95"/>
      <c r="N85" s="95"/>
      <c r="O85" s="95"/>
      <c r="P85" s="95"/>
      <c r="Q85" s="95"/>
      <c r="R85" s="95"/>
      <c r="S85" s="95"/>
      <c r="T85" s="95"/>
      <c r="U85" s="95"/>
    </row>
    <row r="86" spans="1:21" x14ac:dyDescent="0.25">
      <c r="A86" s="95"/>
      <c r="B86" s="95"/>
      <c r="C86" s="95"/>
      <c r="D86" s="95"/>
      <c r="E86" s="95"/>
      <c r="F86" s="95"/>
      <c r="G86" s="95"/>
      <c r="H86" s="95"/>
      <c r="I86" s="95"/>
      <c r="J86" s="95"/>
      <c r="K86" s="95"/>
      <c r="L86" s="95"/>
      <c r="M86" s="95"/>
      <c r="N86" s="95"/>
      <c r="O86" s="95"/>
      <c r="P86" s="95"/>
      <c r="Q86" s="95"/>
      <c r="R86" s="95"/>
      <c r="S86" s="95"/>
      <c r="T86" s="95"/>
      <c r="U86" s="95"/>
    </row>
    <row r="87" spans="1:21" x14ac:dyDescent="0.25">
      <c r="A87" s="95"/>
      <c r="B87" s="95"/>
      <c r="C87" s="95"/>
      <c r="D87" s="95"/>
      <c r="E87" s="95"/>
      <c r="F87" s="95"/>
      <c r="G87" s="95"/>
      <c r="H87" s="95"/>
      <c r="I87" s="95"/>
      <c r="J87" s="95"/>
      <c r="K87" s="95"/>
      <c r="L87" s="95"/>
      <c r="M87" s="95"/>
      <c r="N87" s="95"/>
      <c r="O87" s="95"/>
      <c r="P87" s="95"/>
      <c r="Q87" s="95"/>
      <c r="R87" s="95"/>
      <c r="S87" s="95"/>
      <c r="T87" s="95"/>
      <c r="U87" s="95"/>
    </row>
    <row r="88" spans="1:21" x14ac:dyDescent="0.25">
      <c r="A88" s="95"/>
      <c r="B88" s="95"/>
      <c r="C88" s="95"/>
      <c r="D88" s="95"/>
      <c r="E88" s="95"/>
      <c r="F88" s="95"/>
      <c r="G88" s="95"/>
      <c r="H88" s="95"/>
      <c r="I88" s="95"/>
      <c r="J88" s="95"/>
      <c r="K88" s="95"/>
      <c r="L88" s="95"/>
      <c r="M88" s="95"/>
      <c r="N88" s="95"/>
      <c r="O88" s="95"/>
      <c r="P88" s="95"/>
      <c r="Q88" s="95"/>
      <c r="R88" s="95"/>
      <c r="S88" s="95"/>
      <c r="T88" s="95"/>
      <c r="U88" s="95"/>
    </row>
    <row r="89" spans="1:21" x14ac:dyDescent="0.25">
      <c r="A89" s="95"/>
      <c r="B89" s="95"/>
      <c r="C89" s="95"/>
      <c r="D89" s="95"/>
      <c r="E89" s="95"/>
      <c r="F89" s="95"/>
      <c r="G89" s="95"/>
      <c r="H89" s="95"/>
      <c r="I89" s="95"/>
      <c r="J89" s="95"/>
      <c r="K89" s="95"/>
      <c r="L89" s="95"/>
      <c r="M89" s="95"/>
      <c r="N89" s="95"/>
      <c r="O89" s="95"/>
      <c r="P89" s="95"/>
      <c r="Q89" s="95"/>
      <c r="R89" s="95"/>
      <c r="S89" s="95"/>
      <c r="T89" s="95"/>
      <c r="U89" s="95"/>
    </row>
    <row r="90" spans="1:21" x14ac:dyDescent="0.25">
      <c r="A90" s="95"/>
      <c r="B90" s="95"/>
      <c r="C90" s="95"/>
      <c r="D90" s="95"/>
      <c r="E90" s="95"/>
      <c r="F90" s="95"/>
      <c r="G90" s="95"/>
      <c r="H90" s="95"/>
      <c r="I90" s="95"/>
      <c r="J90" s="95"/>
      <c r="K90" s="95"/>
      <c r="L90" s="95"/>
      <c r="M90" s="95"/>
      <c r="N90" s="95"/>
      <c r="O90" s="95"/>
      <c r="P90" s="95"/>
      <c r="Q90" s="95"/>
      <c r="R90" s="95"/>
      <c r="S90" s="95"/>
      <c r="T90" s="95"/>
      <c r="U90" s="95"/>
    </row>
    <row r="91" spans="1:21" x14ac:dyDescent="0.25">
      <c r="A91" s="95"/>
      <c r="B91" s="95"/>
      <c r="C91" s="95"/>
      <c r="D91" s="95"/>
      <c r="E91" s="95"/>
      <c r="F91" s="95"/>
      <c r="G91" s="95"/>
      <c r="H91" s="95"/>
      <c r="I91" s="95"/>
      <c r="J91" s="95"/>
      <c r="K91" s="95"/>
      <c r="L91" s="95"/>
      <c r="M91" s="95"/>
      <c r="N91" s="95"/>
      <c r="O91" s="95"/>
      <c r="P91" s="95"/>
      <c r="Q91" s="95"/>
      <c r="R91" s="95"/>
      <c r="S91" s="95"/>
      <c r="T91" s="95"/>
      <c r="U91" s="95"/>
    </row>
    <row r="92" spans="1:21" x14ac:dyDescent="0.25">
      <c r="A92" s="95"/>
      <c r="B92" s="95"/>
      <c r="C92" s="95"/>
      <c r="D92" s="95"/>
      <c r="E92" s="95"/>
      <c r="F92" s="95"/>
      <c r="G92" s="95"/>
      <c r="H92" s="95"/>
      <c r="I92" s="95"/>
      <c r="J92" s="95"/>
      <c r="K92" s="95"/>
      <c r="L92" s="95"/>
      <c r="M92" s="95"/>
      <c r="N92" s="95"/>
      <c r="O92" s="95"/>
      <c r="P92" s="95"/>
      <c r="Q92" s="95"/>
      <c r="R92" s="95"/>
      <c r="S92" s="95"/>
      <c r="T92" s="95"/>
      <c r="U92" s="95"/>
    </row>
    <row r="93" spans="1:21" x14ac:dyDescent="0.25">
      <c r="A93" s="95"/>
      <c r="B93" s="95"/>
      <c r="C93" s="95"/>
      <c r="D93" s="95"/>
      <c r="E93" s="95"/>
      <c r="F93" s="95"/>
      <c r="G93" s="95"/>
      <c r="H93" s="95"/>
      <c r="I93" s="95"/>
      <c r="J93" s="95"/>
      <c r="K93" s="95"/>
      <c r="L93" s="95"/>
      <c r="M93" s="95"/>
      <c r="N93" s="95"/>
      <c r="O93" s="95"/>
      <c r="P93" s="95"/>
      <c r="Q93" s="95"/>
      <c r="R93" s="95"/>
      <c r="S93" s="95"/>
      <c r="T93" s="95"/>
      <c r="U93" s="95"/>
    </row>
    <row r="94" spans="1:21" x14ac:dyDescent="0.25">
      <c r="A94" s="95"/>
      <c r="B94" s="95"/>
      <c r="C94" s="95"/>
      <c r="D94" s="95"/>
      <c r="E94" s="95"/>
      <c r="F94" s="95"/>
      <c r="G94" s="95"/>
      <c r="H94" s="95"/>
      <c r="I94" s="95"/>
      <c r="J94" s="95"/>
      <c r="K94" s="95"/>
      <c r="L94" s="95"/>
      <c r="M94" s="95"/>
      <c r="N94" s="95"/>
      <c r="O94" s="95"/>
      <c r="P94" s="95"/>
      <c r="Q94" s="95"/>
      <c r="R94" s="95"/>
      <c r="S94" s="95"/>
      <c r="T94" s="95"/>
      <c r="U94" s="95"/>
    </row>
    <row r="95" spans="1:21" x14ac:dyDescent="0.25">
      <c r="A95" s="95"/>
      <c r="B95" s="95"/>
      <c r="C95" s="95"/>
      <c r="D95" s="95"/>
      <c r="E95" s="95"/>
      <c r="F95" s="95"/>
      <c r="G95" s="95"/>
      <c r="H95" s="95"/>
      <c r="I95" s="95"/>
      <c r="J95" s="95"/>
      <c r="K95" s="95"/>
      <c r="L95" s="95"/>
      <c r="M95" s="95"/>
      <c r="N95" s="95"/>
      <c r="O95" s="95"/>
      <c r="P95" s="95"/>
      <c r="Q95" s="95"/>
      <c r="R95" s="95"/>
      <c r="S95" s="95"/>
      <c r="T95" s="95"/>
      <c r="U95" s="95"/>
    </row>
    <row r="96" spans="1:21" x14ac:dyDescent="0.25">
      <c r="A96" s="95"/>
      <c r="B96" s="95"/>
      <c r="C96" s="95"/>
      <c r="D96" s="95"/>
      <c r="E96" s="95"/>
      <c r="F96" s="95"/>
      <c r="G96" s="95"/>
      <c r="H96" s="95"/>
      <c r="I96" s="95"/>
      <c r="J96" s="95"/>
      <c r="K96" s="95"/>
      <c r="L96" s="95"/>
      <c r="M96" s="95"/>
      <c r="N96" s="95"/>
      <c r="O96" s="95"/>
      <c r="P96" s="95"/>
      <c r="Q96" s="95"/>
      <c r="R96" s="95"/>
      <c r="S96" s="95"/>
      <c r="T96" s="95"/>
      <c r="U96" s="95"/>
    </row>
    <row r="97" spans="1:21" x14ac:dyDescent="0.25">
      <c r="A97" s="95"/>
      <c r="B97" s="95"/>
      <c r="C97" s="95"/>
      <c r="D97" s="95"/>
      <c r="E97" s="95"/>
      <c r="F97" s="95"/>
      <c r="G97" s="95"/>
      <c r="H97" s="95"/>
      <c r="I97" s="95"/>
      <c r="J97" s="95"/>
      <c r="K97" s="95"/>
      <c r="L97" s="95"/>
      <c r="M97" s="95"/>
      <c r="N97" s="95"/>
      <c r="O97" s="95"/>
      <c r="P97" s="95"/>
      <c r="Q97" s="95"/>
      <c r="R97" s="95"/>
      <c r="S97" s="95"/>
      <c r="T97" s="95"/>
      <c r="U97" s="95"/>
    </row>
    <row r="98" spans="1:21" x14ac:dyDescent="0.25">
      <c r="A98" s="95"/>
      <c r="B98" s="95"/>
      <c r="C98" s="95"/>
      <c r="D98" s="95"/>
      <c r="E98" s="95"/>
      <c r="F98" s="95"/>
      <c r="G98" s="95"/>
      <c r="H98" s="95"/>
      <c r="I98" s="95"/>
      <c r="J98" s="95"/>
      <c r="K98" s="95"/>
      <c r="L98" s="95"/>
      <c r="M98" s="95"/>
      <c r="N98" s="95"/>
      <c r="O98" s="95"/>
      <c r="P98" s="95"/>
      <c r="Q98" s="95"/>
      <c r="R98" s="95"/>
      <c r="S98" s="95"/>
      <c r="T98" s="95"/>
      <c r="U98" s="95"/>
    </row>
    <row r="99" spans="1:21" x14ac:dyDescent="0.25">
      <c r="A99" s="95"/>
      <c r="B99" s="95"/>
      <c r="C99" s="95"/>
      <c r="D99" s="95"/>
      <c r="E99" s="95"/>
      <c r="F99" s="95"/>
      <c r="G99" s="95"/>
      <c r="H99" s="95"/>
      <c r="I99" s="95"/>
      <c r="J99" s="95"/>
      <c r="K99" s="95"/>
      <c r="L99" s="95"/>
      <c r="M99" s="95"/>
      <c r="N99" s="95"/>
      <c r="O99" s="95"/>
      <c r="P99" s="95"/>
      <c r="Q99" s="95"/>
      <c r="R99" s="95"/>
      <c r="S99" s="95"/>
      <c r="T99" s="95"/>
      <c r="U99" s="95"/>
    </row>
    <row r="100" spans="1:21" x14ac:dyDescent="0.25">
      <c r="A100" s="95"/>
      <c r="B100" s="95"/>
      <c r="C100" s="95"/>
      <c r="D100" s="95"/>
      <c r="E100" s="95"/>
      <c r="F100" s="95"/>
      <c r="G100" s="95"/>
      <c r="H100" s="95"/>
      <c r="I100" s="95"/>
      <c r="J100" s="95"/>
      <c r="K100" s="95"/>
      <c r="L100" s="95"/>
      <c r="M100" s="95"/>
      <c r="N100" s="95"/>
      <c r="O100" s="95"/>
      <c r="P100" s="95"/>
      <c r="Q100" s="95"/>
      <c r="R100" s="95"/>
      <c r="S100" s="95"/>
      <c r="T100" s="95"/>
      <c r="U100" s="95"/>
    </row>
    <row r="101" spans="1:21" x14ac:dyDescent="0.25">
      <c r="A101" s="95"/>
      <c r="B101" s="95"/>
      <c r="C101" s="95"/>
      <c r="D101" s="95"/>
      <c r="E101" s="95"/>
      <c r="F101" s="95"/>
      <c r="G101" s="95"/>
      <c r="H101" s="95"/>
      <c r="I101" s="95"/>
      <c r="J101" s="95"/>
      <c r="K101" s="95"/>
      <c r="L101" s="95"/>
      <c r="M101" s="95"/>
      <c r="N101" s="95"/>
      <c r="O101" s="95"/>
      <c r="P101" s="95"/>
      <c r="Q101" s="95"/>
      <c r="R101" s="95"/>
      <c r="S101" s="95"/>
      <c r="T101" s="95"/>
      <c r="U101" s="95"/>
    </row>
    <row r="102" spans="1:21" x14ac:dyDescent="0.25">
      <c r="A102" s="95"/>
      <c r="B102" s="95"/>
      <c r="C102" s="95"/>
      <c r="D102" s="95"/>
      <c r="E102" s="95"/>
      <c r="F102" s="95"/>
      <c r="G102" s="95"/>
      <c r="H102" s="95"/>
      <c r="I102" s="95"/>
      <c r="J102" s="95"/>
      <c r="K102" s="95"/>
      <c r="L102" s="95"/>
      <c r="M102" s="95"/>
      <c r="N102" s="95"/>
      <c r="O102" s="95"/>
      <c r="P102" s="95"/>
      <c r="Q102" s="95"/>
      <c r="R102" s="95"/>
      <c r="S102" s="95"/>
      <c r="T102" s="95"/>
      <c r="U102" s="95"/>
    </row>
    <row r="103" spans="1:21" x14ac:dyDescent="0.25">
      <c r="A103" s="95"/>
      <c r="B103" s="95"/>
      <c r="C103" s="95"/>
      <c r="D103" s="95"/>
      <c r="E103" s="95"/>
      <c r="F103" s="95"/>
      <c r="G103" s="95"/>
      <c r="H103" s="95"/>
      <c r="I103" s="95"/>
      <c r="J103" s="95"/>
      <c r="K103" s="95"/>
      <c r="L103" s="95"/>
      <c r="M103" s="95"/>
      <c r="N103" s="95"/>
      <c r="O103" s="95"/>
      <c r="P103" s="95"/>
      <c r="Q103" s="95"/>
      <c r="R103" s="95"/>
      <c r="S103" s="95"/>
      <c r="T103" s="95"/>
      <c r="U103" s="95"/>
    </row>
    <row r="104" spans="1:21" x14ac:dyDescent="0.25">
      <c r="A104" s="95"/>
      <c r="B104" s="95"/>
      <c r="C104" s="95"/>
      <c r="D104" s="95"/>
      <c r="E104" s="95"/>
      <c r="F104" s="95"/>
      <c r="G104" s="95"/>
      <c r="H104" s="95"/>
      <c r="I104" s="95"/>
      <c r="J104" s="95"/>
      <c r="K104" s="95"/>
      <c r="L104" s="95"/>
      <c r="M104" s="95"/>
      <c r="N104" s="95"/>
      <c r="O104" s="95"/>
      <c r="P104" s="95"/>
      <c r="Q104" s="95"/>
      <c r="R104" s="95"/>
      <c r="S104" s="95"/>
      <c r="T104" s="95"/>
      <c r="U104" s="95"/>
    </row>
    <row r="105" spans="1:21" x14ac:dyDescent="0.25">
      <c r="A105" s="95"/>
      <c r="B105" s="95"/>
      <c r="C105" s="95"/>
      <c r="D105" s="95"/>
      <c r="E105" s="95"/>
      <c r="F105" s="95"/>
      <c r="G105" s="95"/>
      <c r="H105" s="95"/>
      <c r="I105" s="95"/>
      <c r="J105" s="95"/>
      <c r="K105" s="95"/>
      <c r="L105" s="95"/>
      <c r="M105" s="95"/>
      <c r="N105" s="95"/>
      <c r="O105" s="95"/>
      <c r="P105" s="95"/>
      <c r="Q105" s="95"/>
      <c r="R105" s="95"/>
      <c r="S105" s="95"/>
      <c r="T105" s="95"/>
      <c r="U105" s="95"/>
    </row>
    <row r="106" spans="1:21" x14ac:dyDescent="0.25">
      <c r="A106" s="95"/>
      <c r="B106" s="95"/>
      <c r="C106" s="95"/>
      <c r="D106" s="95"/>
      <c r="E106" s="95"/>
      <c r="F106" s="95"/>
      <c r="G106" s="95"/>
      <c r="H106" s="95"/>
      <c r="I106" s="95"/>
      <c r="J106" s="95"/>
      <c r="K106" s="95"/>
      <c r="L106" s="95"/>
      <c r="M106" s="95"/>
      <c r="N106" s="95"/>
      <c r="O106" s="95"/>
      <c r="P106" s="95"/>
      <c r="Q106" s="95"/>
      <c r="R106" s="95"/>
      <c r="S106" s="95"/>
      <c r="T106" s="95"/>
      <c r="U106" s="95"/>
    </row>
    <row r="107" spans="1:21" x14ac:dyDescent="0.25">
      <c r="A107" s="95"/>
      <c r="B107" s="95"/>
      <c r="C107" s="95"/>
      <c r="D107" s="95"/>
      <c r="E107" s="95"/>
      <c r="F107" s="95"/>
      <c r="G107" s="95"/>
      <c r="H107" s="95"/>
      <c r="I107" s="95"/>
      <c r="J107" s="95"/>
      <c r="K107" s="95"/>
      <c r="L107" s="95"/>
      <c r="M107" s="95"/>
      <c r="N107" s="95"/>
      <c r="O107" s="95"/>
      <c r="P107" s="95"/>
      <c r="Q107" s="95"/>
      <c r="R107" s="95"/>
      <c r="S107" s="95"/>
      <c r="T107" s="95"/>
      <c r="U107" s="95"/>
    </row>
    <row r="108" spans="1:21" x14ac:dyDescent="0.25">
      <c r="A108" s="95"/>
      <c r="B108" s="95"/>
      <c r="C108" s="95"/>
      <c r="D108" s="95"/>
      <c r="E108" s="95"/>
      <c r="F108" s="95"/>
      <c r="G108" s="95"/>
      <c r="H108" s="95"/>
      <c r="I108" s="95"/>
      <c r="J108" s="95"/>
      <c r="K108" s="95"/>
      <c r="L108" s="95"/>
      <c r="M108" s="95"/>
      <c r="N108" s="95"/>
      <c r="O108" s="95"/>
      <c r="P108" s="95"/>
      <c r="Q108" s="95"/>
      <c r="R108" s="95"/>
      <c r="S108" s="95"/>
      <c r="T108" s="95"/>
      <c r="U108" s="95"/>
    </row>
    <row r="109" spans="1:21" x14ac:dyDescent="0.25">
      <c r="A109" s="95"/>
      <c r="B109" s="95"/>
      <c r="C109" s="95"/>
      <c r="D109" s="95"/>
      <c r="E109" s="95"/>
      <c r="F109" s="95"/>
      <c r="G109" s="95"/>
      <c r="H109" s="95"/>
      <c r="I109" s="95"/>
      <c r="J109" s="95"/>
      <c r="K109" s="95"/>
      <c r="L109" s="95"/>
      <c r="M109" s="95"/>
      <c r="N109" s="95"/>
      <c r="O109" s="95"/>
      <c r="P109" s="95"/>
      <c r="Q109" s="95"/>
      <c r="R109" s="95"/>
      <c r="S109" s="95"/>
      <c r="T109" s="95"/>
      <c r="U109" s="95"/>
    </row>
    <row r="110" spans="1:21" x14ac:dyDescent="0.25">
      <c r="A110" s="95"/>
      <c r="B110" s="95"/>
      <c r="C110" s="95"/>
      <c r="D110" s="95"/>
      <c r="E110" s="95"/>
      <c r="F110" s="95"/>
      <c r="G110" s="95"/>
      <c r="H110" s="95"/>
      <c r="I110" s="95"/>
      <c r="J110" s="95"/>
      <c r="K110" s="95"/>
      <c r="L110" s="95"/>
      <c r="M110" s="95"/>
      <c r="N110" s="95"/>
      <c r="O110" s="95"/>
      <c r="P110" s="95"/>
      <c r="Q110" s="95"/>
      <c r="R110" s="95"/>
      <c r="S110" s="95"/>
      <c r="T110" s="95"/>
      <c r="U110" s="95"/>
    </row>
    <row r="111" spans="1:21" x14ac:dyDescent="0.25">
      <c r="A111" s="95"/>
      <c r="B111" s="95"/>
      <c r="C111" s="95"/>
      <c r="D111" s="95"/>
      <c r="E111" s="95"/>
      <c r="F111" s="95"/>
      <c r="G111" s="95"/>
      <c r="H111" s="95"/>
      <c r="I111" s="95"/>
      <c r="J111" s="95"/>
      <c r="K111" s="95"/>
      <c r="L111" s="95"/>
      <c r="M111" s="95"/>
      <c r="N111" s="95"/>
      <c r="O111" s="95"/>
      <c r="P111" s="95"/>
      <c r="Q111" s="95"/>
      <c r="R111" s="95"/>
      <c r="S111" s="95"/>
      <c r="T111" s="95"/>
      <c r="U111" s="95"/>
    </row>
    <row r="112" spans="1:21" x14ac:dyDescent="0.25">
      <c r="A112" s="95"/>
      <c r="B112" s="95"/>
      <c r="C112" s="95"/>
      <c r="D112" s="95"/>
      <c r="E112" s="95"/>
      <c r="F112" s="95"/>
      <c r="G112" s="95"/>
      <c r="H112" s="95"/>
      <c r="I112" s="95"/>
      <c r="J112" s="95"/>
      <c r="K112" s="95"/>
      <c r="L112" s="95"/>
      <c r="M112" s="95"/>
      <c r="N112" s="95"/>
      <c r="O112" s="95"/>
      <c r="P112" s="95"/>
      <c r="Q112" s="95"/>
      <c r="R112" s="95"/>
      <c r="S112" s="95"/>
      <c r="T112" s="95"/>
      <c r="U112" s="95"/>
    </row>
    <row r="113" spans="1:21" x14ac:dyDescent="0.25">
      <c r="A113" s="95"/>
      <c r="B113" s="95"/>
      <c r="C113" s="95"/>
      <c r="D113" s="95"/>
      <c r="E113" s="95"/>
      <c r="F113" s="95"/>
      <c r="G113" s="95"/>
      <c r="H113" s="95"/>
      <c r="I113" s="95"/>
      <c r="J113" s="95"/>
      <c r="K113" s="95"/>
      <c r="L113" s="95"/>
      <c r="M113" s="95"/>
      <c r="N113" s="95"/>
      <c r="O113" s="95"/>
      <c r="P113" s="95"/>
      <c r="Q113" s="95"/>
      <c r="R113" s="95"/>
      <c r="S113" s="95"/>
      <c r="T113" s="95"/>
      <c r="U113" s="95"/>
    </row>
    <row r="114" spans="1:21" x14ac:dyDescent="0.25">
      <c r="A114" s="95"/>
      <c r="B114" s="95"/>
      <c r="C114" s="95"/>
      <c r="D114" s="95"/>
      <c r="E114" s="95"/>
      <c r="F114" s="95"/>
      <c r="G114" s="95"/>
      <c r="H114" s="95"/>
      <c r="I114" s="95"/>
      <c r="J114" s="95"/>
      <c r="K114" s="95"/>
      <c r="L114" s="95"/>
      <c r="M114" s="95"/>
      <c r="N114" s="95"/>
      <c r="O114" s="95"/>
      <c r="P114" s="95"/>
      <c r="Q114" s="95"/>
      <c r="R114" s="95"/>
      <c r="S114" s="95"/>
      <c r="T114" s="95"/>
      <c r="U114" s="95"/>
    </row>
    <row r="115" spans="1:21" x14ac:dyDescent="0.25">
      <c r="A115" s="95"/>
      <c r="B115" s="95"/>
      <c r="C115" s="95"/>
      <c r="D115" s="95"/>
      <c r="E115" s="95"/>
      <c r="F115" s="95"/>
      <c r="G115" s="95"/>
      <c r="H115" s="95"/>
      <c r="I115" s="95"/>
      <c r="J115" s="95"/>
      <c r="K115" s="95"/>
      <c r="L115" s="95"/>
      <c r="M115" s="95"/>
      <c r="N115" s="95"/>
      <c r="O115" s="95"/>
      <c r="P115" s="95"/>
      <c r="Q115" s="95"/>
      <c r="R115" s="95"/>
      <c r="S115" s="95"/>
      <c r="T115" s="95"/>
      <c r="U115" s="95"/>
    </row>
    <row r="116" spans="1:21" x14ac:dyDescent="0.25">
      <c r="A116" s="95"/>
      <c r="B116" s="95"/>
      <c r="C116" s="95"/>
      <c r="D116" s="95"/>
      <c r="E116" s="95"/>
      <c r="F116" s="95"/>
      <c r="G116" s="95"/>
      <c r="H116" s="95"/>
      <c r="I116" s="95"/>
      <c r="J116" s="95"/>
      <c r="K116" s="95"/>
      <c r="L116" s="95"/>
      <c r="M116" s="95"/>
      <c r="N116" s="95"/>
      <c r="O116" s="95"/>
      <c r="P116" s="95"/>
      <c r="Q116" s="95"/>
      <c r="R116" s="95"/>
      <c r="S116" s="95"/>
      <c r="T116" s="95"/>
      <c r="U116" s="95"/>
    </row>
    <row r="117" spans="1:21" x14ac:dyDescent="0.25">
      <c r="A117" s="95"/>
      <c r="B117" s="95"/>
      <c r="C117" s="95"/>
      <c r="D117" s="95"/>
      <c r="E117" s="95"/>
      <c r="F117" s="95"/>
      <c r="G117" s="95"/>
      <c r="H117" s="95"/>
      <c r="I117" s="95"/>
      <c r="J117" s="95"/>
      <c r="K117" s="95"/>
      <c r="L117" s="95"/>
      <c r="M117" s="95"/>
      <c r="N117" s="95"/>
      <c r="O117" s="95"/>
      <c r="P117" s="95"/>
      <c r="Q117" s="95"/>
      <c r="R117" s="95"/>
      <c r="S117" s="95"/>
      <c r="T117" s="95"/>
      <c r="U117" s="95"/>
    </row>
    <row r="118" spans="1:21" x14ac:dyDescent="0.25">
      <c r="A118" s="95"/>
      <c r="B118" s="95"/>
      <c r="C118" s="95"/>
      <c r="D118" s="95"/>
      <c r="E118" s="95"/>
      <c r="F118" s="95"/>
      <c r="G118" s="95"/>
      <c r="H118" s="95"/>
      <c r="I118" s="95"/>
      <c r="J118" s="95"/>
      <c r="K118" s="95"/>
      <c r="L118" s="95"/>
      <c r="M118" s="95"/>
      <c r="N118" s="95"/>
      <c r="O118" s="95"/>
      <c r="P118" s="95"/>
      <c r="Q118" s="95"/>
      <c r="R118" s="95"/>
      <c r="S118" s="95"/>
      <c r="T118" s="95"/>
      <c r="U118" s="95"/>
    </row>
    <row r="119" spans="1:21" x14ac:dyDescent="0.25">
      <c r="A119" s="95"/>
      <c r="B119" s="95"/>
      <c r="C119" s="95"/>
      <c r="D119" s="95"/>
      <c r="E119" s="95"/>
      <c r="F119" s="95"/>
      <c r="G119" s="95"/>
      <c r="H119" s="95"/>
      <c r="I119" s="95"/>
      <c r="J119" s="95"/>
      <c r="K119" s="95"/>
      <c r="L119" s="95"/>
      <c r="M119" s="95"/>
      <c r="N119" s="95"/>
      <c r="O119" s="95"/>
      <c r="P119" s="95"/>
      <c r="Q119" s="95"/>
      <c r="R119" s="95"/>
      <c r="S119" s="95"/>
      <c r="T119" s="95"/>
      <c r="U119" s="95"/>
    </row>
    <row r="120" spans="1:21" x14ac:dyDescent="0.25">
      <c r="A120" s="95"/>
      <c r="B120" s="95"/>
      <c r="C120" s="95"/>
      <c r="D120" s="95"/>
      <c r="E120" s="95"/>
      <c r="F120" s="95"/>
      <c r="G120" s="95"/>
      <c r="H120" s="95"/>
      <c r="I120" s="95"/>
      <c r="J120" s="95"/>
      <c r="K120" s="95"/>
      <c r="L120" s="95"/>
      <c r="M120" s="95"/>
      <c r="N120" s="95"/>
      <c r="O120" s="95"/>
      <c r="P120" s="95"/>
      <c r="Q120" s="95"/>
      <c r="R120" s="95"/>
      <c r="S120" s="95"/>
      <c r="T120" s="95"/>
      <c r="U120" s="95"/>
    </row>
    <row r="121" spans="1:21" x14ac:dyDescent="0.25">
      <c r="A121" s="95"/>
      <c r="B121" s="95"/>
      <c r="C121" s="95"/>
      <c r="D121" s="95"/>
      <c r="E121" s="95"/>
      <c r="F121" s="95"/>
      <c r="G121" s="95"/>
      <c r="H121" s="95"/>
      <c r="I121" s="95"/>
      <c r="J121" s="95"/>
      <c r="K121" s="95"/>
      <c r="L121" s="95"/>
      <c r="M121" s="95"/>
      <c r="N121" s="95"/>
      <c r="O121" s="95"/>
      <c r="P121" s="95"/>
      <c r="Q121" s="95"/>
      <c r="R121" s="95"/>
      <c r="S121" s="95"/>
      <c r="T121" s="95"/>
      <c r="U121" s="95"/>
    </row>
    <row r="122" spans="1:21" x14ac:dyDescent="0.25">
      <c r="A122" s="95"/>
      <c r="B122" s="95"/>
      <c r="C122" s="95"/>
      <c r="D122" s="95"/>
      <c r="E122" s="95"/>
      <c r="F122" s="95"/>
      <c r="G122" s="95"/>
      <c r="H122" s="95"/>
      <c r="I122" s="95"/>
      <c r="J122" s="95"/>
      <c r="K122" s="95"/>
      <c r="L122" s="95"/>
      <c r="M122" s="95"/>
      <c r="N122" s="95"/>
      <c r="O122" s="95"/>
      <c r="P122" s="95"/>
      <c r="Q122" s="95"/>
      <c r="R122" s="95"/>
      <c r="S122" s="95"/>
      <c r="T122" s="95"/>
      <c r="U122" s="95"/>
    </row>
    <row r="123" spans="1:21" x14ac:dyDescent="0.25">
      <c r="A123" s="95"/>
      <c r="B123" s="95"/>
      <c r="C123" s="95"/>
      <c r="D123" s="95"/>
      <c r="E123" s="95"/>
      <c r="F123" s="95"/>
      <c r="G123" s="95"/>
      <c r="H123" s="95"/>
      <c r="I123" s="95"/>
      <c r="J123" s="95"/>
      <c r="K123" s="95"/>
      <c r="L123" s="95"/>
      <c r="M123" s="95"/>
      <c r="N123" s="95"/>
      <c r="O123" s="95"/>
      <c r="P123" s="95"/>
      <c r="Q123" s="95"/>
      <c r="R123" s="95"/>
      <c r="S123" s="95"/>
      <c r="T123" s="95"/>
      <c r="U123" s="95"/>
    </row>
    <row r="124" spans="1:21" x14ac:dyDescent="0.25">
      <c r="A124" s="95"/>
      <c r="B124" s="95"/>
      <c r="C124" s="95"/>
      <c r="D124" s="95"/>
      <c r="E124" s="95"/>
      <c r="F124" s="95"/>
      <c r="G124" s="95"/>
      <c r="H124" s="95"/>
      <c r="I124" s="95"/>
      <c r="J124" s="95"/>
      <c r="K124" s="95"/>
      <c r="L124" s="95"/>
      <c r="M124" s="95"/>
      <c r="N124" s="95"/>
      <c r="O124" s="95"/>
      <c r="P124" s="95"/>
      <c r="Q124" s="95"/>
      <c r="R124" s="95"/>
      <c r="S124" s="95"/>
      <c r="T124" s="95"/>
      <c r="U124" s="95"/>
    </row>
    <row r="125" spans="1:21" x14ac:dyDescent="0.25">
      <c r="A125" s="95"/>
      <c r="B125" s="95"/>
      <c r="C125" s="95"/>
      <c r="D125" s="95"/>
      <c r="E125" s="95"/>
      <c r="F125" s="95"/>
      <c r="G125" s="95"/>
      <c r="H125" s="95"/>
      <c r="I125" s="95"/>
      <c r="J125" s="95"/>
      <c r="K125" s="95"/>
      <c r="L125" s="95"/>
      <c r="M125" s="95"/>
      <c r="N125" s="95"/>
      <c r="O125" s="95"/>
      <c r="P125" s="95"/>
      <c r="Q125" s="95"/>
      <c r="R125" s="95"/>
      <c r="S125" s="95"/>
      <c r="T125" s="95"/>
      <c r="U125" s="95"/>
    </row>
    <row r="126" spans="1:21" x14ac:dyDescent="0.25">
      <c r="A126" s="95"/>
      <c r="B126" s="95"/>
      <c r="C126" s="95"/>
      <c r="D126" s="95"/>
      <c r="E126" s="95"/>
      <c r="F126" s="95"/>
      <c r="G126" s="95"/>
      <c r="H126" s="95"/>
      <c r="I126" s="95"/>
      <c r="J126" s="95"/>
      <c r="K126" s="95"/>
      <c r="L126" s="95"/>
      <c r="M126" s="95"/>
      <c r="N126" s="95"/>
      <c r="O126" s="95"/>
      <c r="P126" s="95"/>
      <c r="Q126" s="95"/>
      <c r="R126" s="95"/>
      <c r="S126" s="95"/>
      <c r="T126" s="95"/>
      <c r="U126" s="95"/>
    </row>
    <row r="127" spans="1:21" x14ac:dyDescent="0.25">
      <c r="A127" s="95"/>
      <c r="B127" s="95"/>
      <c r="C127" s="95"/>
      <c r="D127" s="95"/>
      <c r="E127" s="95"/>
      <c r="F127" s="95"/>
      <c r="G127" s="95"/>
      <c r="H127" s="95"/>
      <c r="I127" s="95"/>
      <c r="J127" s="95"/>
      <c r="K127" s="95"/>
      <c r="L127" s="95"/>
      <c r="M127" s="95"/>
      <c r="N127" s="95"/>
      <c r="O127" s="95"/>
      <c r="P127" s="95"/>
      <c r="Q127" s="95"/>
      <c r="R127" s="95"/>
      <c r="S127" s="95"/>
      <c r="T127" s="95"/>
      <c r="U127" s="95"/>
    </row>
    <row r="128" spans="1:21" x14ac:dyDescent="0.25">
      <c r="A128" s="95"/>
      <c r="B128" s="95"/>
      <c r="C128" s="95"/>
      <c r="D128" s="95"/>
      <c r="E128" s="95"/>
      <c r="F128" s="95"/>
      <c r="G128" s="95"/>
      <c r="H128" s="95"/>
      <c r="I128" s="95"/>
      <c r="J128" s="95"/>
      <c r="K128" s="95"/>
      <c r="L128" s="95"/>
      <c r="M128" s="95"/>
      <c r="N128" s="95"/>
      <c r="O128" s="95"/>
      <c r="P128" s="95"/>
      <c r="Q128" s="95"/>
      <c r="R128" s="95"/>
      <c r="S128" s="95"/>
      <c r="T128" s="95"/>
      <c r="U128" s="95"/>
    </row>
    <row r="129" spans="1:21" x14ac:dyDescent="0.25">
      <c r="A129" s="95"/>
      <c r="B129" s="95"/>
      <c r="C129" s="95"/>
      <c r="D129" s="95"/>
      <c r="E129" s="95"/>
      <c r="F129" s="95"/>
      <c r="G129" s="95"/>
      <c r="H129" s="95"/>
      <c r="I129" s="95"/>
      <c r="J129" s="95"/>
      <c r="K129" s="95"/>
      <c r="L129" s="95"/>
      <c r="M129" s="95"/>
      <c r="N129" s="95"/>
      <c r="O129" s="95"/>
      <c r="P129" s="95"/>
      <c r="Q129" s="95"/>
      <c r="R129" s="95"/>
      <c r="S129" s="95"/>
      <c r="T129" s="95"/>
      <c r="U129" s="95"/>
    </row>
    <row r="130" spans="1:21" x14ac:dyDescent="0.25">
      <c r="A130" s="95"/>
      <c r="B130" s="95"/>
      <c r="C130" s="95"/>
      <c r="D130" s="95"/>
      <c r="E130" s="95"/>
      <c r="F130" s="95"/>
      <c r="G130" s="95"/>
      <c r="H130" s="95"/>
      <c r="I130" s="95"/>
      <c r="J130" s="95"/>
      <c r="K130" s="95"/>
      <c r="L130" s="95"/>
      <c r="M130" s="95"/>
      <c r="N130" s="95"/>
      <c r="O130" s="95"/>
      <c r="P130" s="95"/>
      <c r="Q130" s="95"/>
      <c r="R130" s="95"/>
      <c r="S130" s="95"/>
      <c r="T130" s="95"/>
      <c r="U130" s="95"/>
    </row>
    <row r="131" spans="1:21" x14ac:dyDescent="0.25">
      <c r="A131" s="95"/>
      <c r="B131" s="95"/>
      <c r="C131" s="95"/>
      <c r="D131" s="95"/>
      <c r="E131" s="95"/>
      <c r="F131" s="95"/>
      <c r="G131" s="95"/>
      <c r="H131" s="95"/>
      <c r="I131" s="95"/>
      <c r="J131" s="95"/>
      <c r="K131" s="95"/>
      <c r="L131" s="95"/>
      <c r="M131" s="95"/>
      <c r="N131" s="95"/>
      <c r="O131" s="95"/>
      <c r="P131" s="95"/>
      <c r="Q131" s="95"/>
      <c r="R131" s="95"/>
      <c r="S131" s="95"/>
      <c r="T131" s="95"/>
      <c r="U131" s="95"/>
    </row>
    <row r="132" spans="1:21" x14ac:dyDescent="0.25">
      <c r="A132" s="95"/>
      <c r="B132" s="95"/>
      <c r="C132" s="95"/>
      <c r="D132" s="95"/>
      <c r="E132" s="95"/>
      <c r="F132" s="95"/>
      <c r="G132" s="95"/>
      <c r="H132" s="95"/>
      <c r="I132" s="95"/>
      <c r="J132" s="95"/>
      <c r="K132" s="95"/>
      <c r="L132" s="95"/>
      <c r="M132" s="95"/>
      <c r="N132" s="95"/>
      <c r="O132" s="95"/>
      <c r="P132" s="95"/>
      <c r="Q132" s="95"/>
      <c r="R132" s="95"/>
      <c r="S132" s="95"/>
      <c r="T132" s="95"/>
      <c r="U132" s="95"/>
    </row>
    <row r="133" spans="1:21" x14ac:dyDescent="0.25">
      <c r="A133" s="95"/>
      <c r="B133" s="95"/>
      <c r="C133" s="95"/>
      <c r="D133" s="95"/>
      <c r="E133" s="95"/>
      <c r="F133" s="95"/>
      <c r="G133" s="95"/>
      <c r="H133" s="95"/>
      <c r="I133" s="95"/>
      <c r="J133" s="95"/>
      <c r="K133" s="95"/>
      <c r="L133" s="95"/>
      <c r="M133" s="95"/>
      <c r="N133" s="95"/>
      <c r="O133" s="95"/>
      <c r="P133" s="95"/>
      <c r="Q133" s="95"/>
      <c r="R133" s="95"/>
      <c r="S133" s="95"/>
      <c r="T133" s="95"/>
      <c r="U133" s="95"/>
    </row>
    <row r="134" spans="1:21" x14ac:dyDescent="0.25">
      <c r="A134" s="95"/>
      <c r="B134" s="95"/>
      <c r="C134" s="95"/>
      <c r="D134" s="95"/>
      <c r="E134" s="95"/>
      <c r="F134" s="95"/>
      <c r="G134" s="95"/>
      <c r="H134" s="95"/>
      <c r="I134" s="95"/>
      <c r="J134" s="95"/>
      <c r="K134" s="95"/>
      <c r="L134" s="95"/>
      <c r="M134" s="95"/>
      <c r="N134" s="95"/>
      <c r="O134" s="95"/>
      <c r="P134" s="95"/>
      <c r="Q134" s="95"/>
      <c r="R134" s="95"/>
      <c r="S134" s="95"/>
      <c r="T134" s="95"/>
      <c r="U134" s="95"/>
    </row>
    <row r="135" spans="1:21" x14ac:dyDescent="0.25">
      <c r="A135" s="95"/>
      <c r="B135" s="95"/>
      <c r="C135" s="95"/>
      <c r="D135" s="95"/>
      <c r="E135" s="95"/>
      <c r="F135" s="95"/>
      <c r="G135" s="95"/>
      <c r="H135" s="95"/>
      <c r="I135" s="95"/>
      <c r="J135" s="95"/>
      <c r="K135" s="95"/>
      <c r="L135" s="95"/>
      <c r="M135" s="95"/>
      <c r="N135" s="95"/>
      <c r="O135" s="95"/>
      <c r="P135" s="95"/>
      <c r="Q135" s="95"/>
      <c r="R135" s="95"/>
      <c r="S135" s="95"/>
      <c r="T135" s="95"/>
      <c r="U135" s="95"/>
    </row>
    <row r="136" spans="1:21" x14ac:dyDescent="0.25">
      <c r="A136" s="95"/>
      <c r="B136" s="95"/>
      <c r="C136" s="95"/>
      <c r="D136" s="95"/>
      <c r="E136" s="95"/>
      <c r="F136" s="95"/>
      <c r="G136" s="95"/>
      <c r="H136" s="95"/>
      <c r="I136" s="95"/>
      <c r="J136" s="95"/>
      <c r="K136" s="95"/>
      <c r="L136" s="95"/>
      <c r="M136" s="95"/>
      <c r="N136" s="95"/>
      <c r="O136" s="95"/>
      <c r="P136" s="95"/>
      <c r="Q136" s="95"/>
      <c r="R136" s="95"/>
      <c r="S136" s="95"/>
      <c r="T136" s="95"/>
      <c r="U136" s="95"/>
    </row>
    <row r="137" spans="1:21" x14ac:dyDescent="0.25">
      <c r="A137" s="95"/>
      <c r="B137" s="95"/>
      <c r="C137" s="95"/>
      <c r="D137" s="95"/>
      <c r="E137" s="95"/>
      <c r="F137" s="95"/>
      <c r="G137" s="95"/>
      <c r="H137" s="95"/>
      <c r="I137" s="95"/>
      <c r="J137" s="95"/>
      <c r="K137" s="95"/>
      <c r="L137" s="95"/>
      <c r="M137" s="95"/>
      <c r="N137" s="95"/>
      <c r="O137" s="95"/>
      <c r="P137" s="95"/>
      <c r="Q137" s="95"/>
      <c r="R137" s="95"/>
      <c r="S137" s="95"/>
      <c r="T137" s="95"/>
      <c r="U137" s="95"/>
    </row>
    <row r="138" spans="1:21" x14ac:dyDescent="0.25">
      <c r="A138" s="95"/>
      <c r="B138" s="95"/>
      <c r="C138" s="95"/>
      <c r="D138" s="95"/>
      <c r="E138" s="95"/>
      <c r="F138" s="95"/>
      <c r="G138" s="95"/>
      <c r="H138" s="95"/>
      <c r="I138" s="95"/>
      <c r="J138" s="95"/>
      <c r="K138" s="95"/>
      <c r="L138" s="95"/>
      <c r="M138" s="95"/>
      <c r="N138" s="95"/>
      <c r="O138" s="95"/>
      <c r="P138" s="95"/>
      <c r="Q138" s="95"/>
      <c r="R138" s="95"/>
      <c r="S138" s="95"/>
      <c r="T138" s="95"/>
      <c r="U138" s="95"/>
    </row>
    <row r="139" spans="1:21" x14ac:dyDescent="0.25">
      <c r="A139" s="95"/>
      <c r="B139" s="95"/>
      <c r="C139" s="95"/>
      <c r="D139" s="95"/>
      <c r="E139" s="95"/>
      <c r="F139" s="95"/>
      <c r="G139" s="95"/>
      <c r="H139" s="95"/>
      <c r="I139" s="95"/>
      <c r="J139" s="95"/>
      <c r="K139" s="95"/>
      <c r="L139" s="95"/>
      <c r="M139" s="95"/>
      <c r="N139" s="95"/>
      <c r="O139" s="95"/>
      <c r="P139" s="95"/>
      <c r="Q139" s="95"/>
      <c r="R139" s="95"/>
      <c r="S139" s="95"/>
      <c r="T139" s="95"/>
      <c r="U139" s="95"/>
    </row>
    <row r="140" spans="1:21" x14ac:dyDescent="0.25">
      <c r="A140" s="95"/>
      <c r="B140" s="95"/>
      <c r="C140" s="95"/>
      <c r="D140" s="95"/>
      <c r="E140" s="95"/>
      <c r="F140" s="95"/>
      <c r="G140" s="95"/>
      <c r="H140" s="95"/>
      <c r="I140" s="95"/>
      <c r="J140" s="95"/>
      <c r="K140" s="95"/>
      <c r="L140" s="95"/>
      <c r="M140" s="95"/>
      <c r="N140" s="95"/>
      <c r="O140" s="95"/>
      <c r="P140" s="95"/>
      <c r="Q140" s="95"/>
      <c r="R140" s="95"/>
      <c r="S140" s="95"/>
      <c r="T140" s="95"/>
      <c r="U140" s="95"/>
    </row>
    <row r="141" spans="1:21" x14ac:dyDescent="0.25">
      <c r="A141" s="95"/>
      <c r="B141" s="95"/>
      <c r="C141" s="95"/>
      <c r="D141" s="95"/>
      <c r="E141" s="95"/>
      <c r="F141" s="95"/>
      <c r="G141" s="95"/>
      <c r="H141" s="95"/>
      <c r="I141" s="95"/>
      <c r="J141" s="95"/>
      <c r="K141" s="95"/>
      <c r="L141" s="95"/>
      <c r="M141" s="95"/>
      <c r="N141" s="95"/>
      <c r="O141" s="95"/>
      <c r="P141" s="95"/>
      <c r="Q141" s="95"/>
      <c r="R141" s="95"/>
      <c r="S141" s="95"/>
      <c r="T141" s="95"/>
      <c r="U141" s="95"/>
    </row>
    <row r="142" spans="1:21" x14ac:dyDescent="0.25">
      <c r="A142" s="95"/>
      <c r="B142" s="95"/>
      <c r="C142" s="95"/>
      <c r="D142" s="95"/>
      <c r="E142" s="95"/>
      <c r="F142" s="95"/>
      <c r="G142" s="95"/>
      <c r="H142" s="95"/>
      <c r="I142" s="95"/>
      <c r="J142" s="95"/>
      <c r="K142" s="95"/>
      <c r="L142" s="95"/>
      <c r="M142" s="95"/>
      <c r="N142" s="95"/>
      <c r="O142" s="95"/>
      <c r="P142" s="95"/>
      <c r="Q142" s="95"/>
      <c r="R142" s="95"/>
      <c r="S142" s="95"/>
      <c r="T142" s="95"/>
      <c r="U142" s="95"/>
    </row>
    <row r="143" spans="1:21" x14ac:dyDescent="0.25">
      <c r="A143" s="95"/>
      <c r="B143" s="95"/>
      <c r="C143" s="95"/>
      <c r="D143" s="95"/>
      <c r="E143" s="95"/>
      <c r="F143" s="95"/>
      <c r="G143" s="95"/>
      <c r="H143" s="95"/>
      <c r="I143" s="95"/>
      <c r="J143" s="95"/>
      <c r="K143" s="95"/>
      <c r="L143" s="95"/>
      <c r="M143" s="95"/>
      <c r="N143" s="95"/>
      <c r="O143" s="95"/>
      <c r="P143" s="95"/>
      <c r="Q143" s="95"/>
      <c r="R143" s="95"/>
      <c r="S143" s="95"/>
      <c r="T143" s="95"/>
      <c r="U143" s="95"/>
    </row>
    <row r="144" spans="1:21" x14ac:dyDescent="0.25">
      <c r="A144" s="95"/>
      <c r="B144" s="95"/>
      <c r="C144" s="95"/>
      <c r="D144" s="95"/>
      <c r="E144" s="95"/>
      <c r="F144" s="95"/>
      <c r="G144" s="95"/>
      <c r="H144" s="95"/>
      <c r="I144" s="95"/>
      <c r="J144" s="95"/>
      <c r="K144" s="95"/>
      <c r="L144" s="95"/>
      <c r="M144" s="95"/>
      <c r="N144" s="95"/>
      <c r="O144" s="95"/>
      <c r="P144" s="95"/>
      <c r="Q144" s="95"/>
      <c r="R144" s="95"/>
      <c r="S144" s="95"/>
      <c r="T144" s="95"/>
      <c r="U144" s="95"/>
    </row>
    <row r="145" spans="1:21" x14ac:dyDescent="0.25">
      <c r="A145" s="95"/>
      <c r="B145" s="95"/>
      <c r="C145" s="95"/>
      <c r="D145" s="95"/>
      <c r="E145" s="95"/>
      <c r="F145" s="95"/>
      <c r="G145" s="95"/>
      <c r="H145" s="95"/>
      <c r="I145" s="95"/>
      <c r="J145" s="95"/>
      <c r="K145" s="95"/>
      <c r="L145" s="95"/>
      <c r="M145" s="95"/>
      <c r="N145" s="95"/>
      <c r="O145" s="95"/>
      <c r="P145" s="95"/>
      <c r="Q145" s="95"/>
      <c r="R145" s="95"/>
      <c r="S145" s="95"/>
      <c r="T145" s="95"/>
      <c r="U145" s="95"/>
    </row>
    <row r="146" spans="1:21" x14ac:dyDescent="0.25">
      <c r="A146" s="95"/>
      <c r="B146" s="95"/>
      <c r="C146" s="95"/>
      <c r="D146" s="95"/>
      <c r="E146" s="95"/>
      <c r="F146" s="95"/>
      <c r="G146" s="95"/>
      <c r="H146" s="95"/>
      <c r="I146" s="95"/>
      <c r="J146" s="95"/>
      <c r="K146" s="95"/>
      <c r="L146" s="95"/>
      <c r="M146" s="95"/>
      <c r="N146" s="95"/>
      <c r="O146" s="95"/>
      <c r="P146" s="95"/>
      <c r="Q146" s="95"/>
      <c r="R146" s="95"/>
      <c r="S146" s="95"/>
      <c r="T146" s="95"/>
      <c r="U146" s="95"/>
    </row>
    <row r="147" spans="1:21" x14ac:dyDescent="0.25">
      <c r="A147" s="95"/>
      <c r="B147" s="95"/>
      <c r="C147" s="95"/>
      <c r="D147" s="95"/>
      <c r="E147" s="95"/>
      <c r="F147" s="95"/>
      <c r="G147" s="95"/>
      <c r="H147" s="95"/>
      <c r="I147" s="95"/>
      <c r="J147" s="95"/>
      <c r="K147" s="95"/>
      <c r="L147" s="95"/>
      <c r="M147" s="95"/>
      <c r="N147" s="95"/>
      <c r="O147" s="95"/>
      <c r="P147" s="95"/>
      <c r="Q147" s="95"/>
      <c r="R147" s="95"/>
      <c r="S147" s="95"/>
      <c r="T147" s="95"/>
      <c r="U147" s="95"/>
    </row>
    <row r="148" spans="1:21" x14ac:dyDescent="0.25">
      <c r="A148" s="95"/>
      <c r="B148" s="95"/>
      <c r="C148" s="95"/>
      <c r="D148" s="95"/>
      <c r="E148" s="95"/>
      <c r="F148" s="95"/>
      <c r="G148" s="95"/>
      <c r="H148" s="95"/>
      <c r="I148" s="95"/>
      <c r="J148" s="95"/>
      <c r="K148" s="95"/>
      <c r="L148" s="95"/>
      <c r="M148" s="95"/>
      <c r="N148" s="95"/>
      <c r="O148" s="95"/>
      <c r="P148" s="95"/>
      <c r="Q148" s="95"/>
      <c r="R148" s="95"/>
      <c r="S148" s="95"/>
      <c r="T148" s="95"/>
      <c r="U148" s="95"/>
    </row>
    <row r="149" spans="1:21" x14ac:dyDescent="0.25">
      <c r="A149" s="95"/>
      <c r="B149" s="95"/>
      <c r="C149" s="95"/>
      <c r="D149" s="95"/>
      <c r="E149" s="95"/>
      <c r="F149" s="95"/>
      <c r="G149" s="95"/>
      <c r="H149" s="95"/>
      <c r="I149" s="95"/>
      <c r="J149" s="95"/>
      <c r="K149" s="95"/>
      <c r="L149" s="95"/>
      <c r="M149" s="95"/>
      <c r="N149" s="95"/>
      <c r="O149" s="95"/>
      <c r="P149" s="95"/>
      <c r="Q149" s="95"/>
      <c r="R149" s="95"/>
      <c r="S149" s="95"/>
      <c r="T149" s="95"/>
      <c r="U149" s="95"/>
    </row>
    <row r="150" spans="1:21" x14ac:dyDescent="0.25">
      <c r="A150" s="95"/>
      <c r="B150" s="95"/>
      <c r="C150" s="95"/>
      <c r="D150" s="95"/>
      <c r="E150" s="95"/>
      <c r="F150" s="95"/>
      <c r="G150" s="95"/>
      <c r="H150" s="95"/>
      <c r="I150" s="95"/>
      <c r="J150" s="95"/>
      <c r="K150" s="95"/>
      <c r="L150" s="95"/>
      <c r="M150" s="95"/>
      <c r="N150" s="95"/>
      <c r="O150" s="95"/>
      <c r="P150" s="95"/>
      <c r="Q150" s="95"/>
      <c r="R150" s="95"/>
      <c r="S150" s="95"/>
      <c r="T150" s="95"/>
      <c r="U150" s="95"/>
    </row>
    <row r="151" spans="1:21" x14ac:dyDescent="0.25">
      <c r="A151" s="95"/>
      <c r="B151" s="95"/>
      <c r="C151" s="95"/>
      <c r="D151" s="95"/>
      <c r="E151" s="95"/>
      <c r="F151" s="95"/>
      <c r="G151" s="95"/>
      <c r="H151" s="95"/>
      <c r="I151" s="95"/>
      <c r="J151" s="95"/>
      <c r="K151" s="95"/>
      <c r="L151" s="95"/>
      <c r="M151" s="95"/>
      <c r="N151" s="95"/>
      <c r="O151" s="95"/>
      <c r="P151" s="95"/>
      <c r="Q151" s="95"/>
      <c r="R151" s="95"/>
      <c r="S151" s="95"/>
      <c r="T151" s="95"/>
      <c r="U151" s="95"/>
    </row>
    <row r="152" spans="1:21" x14ac:dyDescent="0.25">
      <c r="A152" s="95"/>
      <c r="B152" s="95"/>
      <c r="C152" s="95"/>
      <c r="D152" s="95"/>
      <c r="E152" s="95"/>
      <c r="F152" s="95"/>
      <c r="G152" s="95"/>
      <c r="H152" s="95"/>
      <c r="I152" s="95"/>
      <c r="J152" s="95"/>
      <c r="K152" s="95"/>
      <c r="L152" s="95"/>
      <c r="M152" s="95"/>
      <c r="N152" s="95"/>
      <c r="O152" s="95"/>
      <c r="P152" s="95"/>
      <c r="Q152" s="95"/>
      <c r="R152" s="95"/>
      <c r="S152" s="95"/>
      <c r="T152" s="95"/>
      <c r="U152" s="95"/>
    </row>
    <row r="153" spans="1:21" x14ac:dyDescent="0.25">
      <c r="A153" s="95"/>
      <c r="B153" s="95"/>
      <c r="C153" s="95"/>
      <c r="D153" s="95"/>
      <c r="E153" s="95"/>
      <c r="F153" s="95"/>
      <c r="G153" s="95"/>
      <c r="H153" s="95"/>
      <c r="I153" s="95"/>
      <c r="J153" s="95"/>
      <c r="K153" s="95"/>
      <c r="L153" s="95"/>
      <c r="M153" s="95"/>
      <c r="N153" s="95"/>
      <c r="O153" s="95"/>
      <c r="P153" s="95"/>
      <c r="Q153" s="95"/>
      <c r="R153" s="95"/>
      <c r="S153" s="95"/>
      <c r="T153" s="95"/>
      <c r="U153" s="95"/>
    </row>
    <row r="154" spans="1:21" x14ac:dyDescent="0.25">
      <c r="A154" s="95"/>
      <c r="B154" s="95"/>
      <c r="C154" s="95"/>
      <c r="D154" s="95"/>
      <c r="E154" s="95"/>
      <c r="F154" s="95"/>
      <c r="G154" s="95"/>
      <c r="H154" s="95"/>
      <c r="I154" s="95"/>
      <c r="J154" s="95"/>
      <c r="K154" s="95"/>
      <c r="L154" s="95"/>
      <c r="M154" s="95"/>
      <c r="N154" s="95"/>
      <c r="O154" s="95"/>
      <c r="P154" s="95"/>
      <c r="Q154" s="95"/>
      <c r="R154" s="95"/>
      <c r="S154" s="95"/>
      <c r="T154" s="95"/>
      <c r="U154" s="95"/>
    </row>
    <row r="155" spans="1:21" x14ac:dyDescent="0.25">
      <c r="A155" s="95"/>
      <c r="B155" s="95"/>
      <c r="C155" s="95"/>
      <c r="D155" s="95"/>
      <c r="E155" s="95"/>
      <c r="F155" s="95"/>
      <c r="G155" s="95"/>
      <c r="H155" s="95"/>
      <c r="I155" s="95"/>
      <c r="J155" s="95"/>
      <c r="K155" s="95"/>
      <c r="L155" s="95"/>
      <c r="M155" s="95"/>
      <c r="N155" s="95"/>
      <c r="O155" s="95"/>
      <c r="P155" s="95"/>
      <c r="Q155" s="95"/>
      <c r="R155" s="95"/>
      <c r="S155" s="95"/>
      <c r="T155" s="95"/>
      <c r="U155" s="95"/>
    </row>
    <row r="156" spans="1:21" x14ac:dyDescent="0.25">
      <c r="A156" s="95"/>
      <c r="B156" s="95"/>
      <c r="C156" s="95"/>
      <c r="D156" s="95"/>
      <c r="E156" s="95"/>
      <c r="F156" s="95"/>
      <c r="G156" s="95"/>
      <c r="H156" s="95"/>
      <c r="I156" s="95"/>
      <c r="J156" s="95"/>
      <c r="K156" s="95"/>
      <c r="L156" s="95"/>
      <c r="M156" s="95"/>
      <c r="N156" s="95"/>
      <c r="O156" s="95"/>
      <c r="P156" s="95"/>
      <c r="Q156" s="95"/>
      <c r="R156" s="95"/>
      <c r="S156" s="95"/>
      <c r="T156" s="95"/>
      <c r="U156" s="95"/>
    </row>
    <row r="157" spans="1:21" x14ac:dyDescent="0.25">
      <c r="A157" s="95"/>
      <c r="B157" s="95"/>
      <c r="C157" s="95"/>
      <c r="D157" s="95"/>
      <c r="E157" s="95"/>
      <c r="F157" s="95"/>
      <c r="G157" s="95"/>
      <c r="H157" s="95"/>
      <c r="I157" s="95"/>
      <c r="J157" s="95"/>
      <c r="K157" s="95"/>
      <c r="L157" s="95"/>
      <c r="M157" s="95"/>
      <c r="N157" s="95"/>
      <c r="O157" s="95"/>
      <c r="P157" s="95"/>
      <c r="Q157" s="95"/>
      <c r="R157" s="95"/>
      <c r="S157" s="95"/>
      <c r="T157" s="95"/>
      <c r="U157" s="95"/>
    </row>
    <row r="158" spans="1:21" x14ac:dyDescent="0.25">
      <c r="A158" s="95"/>
      <c r="B158" s="95"/>
      <c r="C158" s="95"/>
      <c r="D158" s="95"/>
      <c r="E158" s="95"/>
      <c r="F158" s="95"/>
      <c r="G158" s="95"/>
      <c r="H158" s="95"/>
      <c r="I158" s="95"/>
      <c r="J158" s="95"/>
      <c r="K158" s="95"/>
      <c r="L158" s="95"/>
      <c r="M158" s="95"/>
      <c r="N158" s="95"/>
      <c r="O158" s="95"/>
      <c r="P158" s="95"/>
      <c r="Q158" s="95"/>
      <c r="R158" s="95"/>
      <c r="S158" s="95"/>
      <c r="T158" s="95"/>
      <c r="U158" s="95"/>
    </row>
    <row r="159" spans="1:21" x14ac:dyDescent="0.25">
      <c r="A159" s="95"/>
      <c r="B159" s="95"/>
      <c r="C159" s="95"/>
      <c r="D159" s="95"/>
      <c r="E159" s="95"/>
      <c r="F159" s="95"/>
      <c r="G159" s="95"/>
      <c r="H159" s="95"/>
      <c r="I159" s="95"/>
      <c r="J159" s="95"/>
      <c r="K159" s="95"/>
      <c r="L159" s="95"/>
      <c r="M159" s="95"/>
      <c r="N159" s="95"/>
      <c r="O159" s="95"/>
      <c r="P159" s="95"/>
      <c r="Q159" s="95"/>
      <c r="R159" s="95"/>
      <c r="S159" s="95"/>
      <c r="T159" s="95"/>
      <c r="U159" s="95"/>
    </row>
    <row r="160" spans="1:21" x14ac:dyDescent="0.25">
      <c r="A160" s="95"/>
      <c r="B160" s="95"/>
      <c r="C160" s="95"/>
      <c r="D160" s="95"/>
      <c r="E160" s="95"/>
      <c r="F160" s="95"/>
      <c r="G160" s="95"/>
      <c r="H160" s="95"/>
      <c r="I160" s="95"/>
      <c r="J160" s="95"/>
      <c r="K160" s="95"/>
      <c r="L160" s="95"/>
      <c r="M160" s="95"/>
      <c r="N160" s="95"/>
      <c r="O160" s="95"/>
      <c r="P160" s="95"/>
      <c r="Q160" s="95"/>
      <c r="R160" s="95"/>
      <c r="S160" s="95"/>
      <c r="T160" s="95"/>
      <c r="U160" s="95"/>
    </row>
    <row r="161" spans="1:21" x14ac:dyDescent="0.25">
      <c r="A161" s="95"/>
      <c r="B161" s="95"/>
      <c r="C161" s="95"/>
      <c r="D161" s="95"/>
      <c r="E161" s="95"/>
      <c r="F161" s="95"/>
      <c r="G161" s="95"/>
      <c r="H161" s="95"/>
      <c r="I161" s="95"/>
      <c r="J161" s="95"/>
      <c r="K161" s="95"/>
      <c r="L161" s="95"/>
      <c r="M161" s="95"/>
      <c r="N161" s="95"/>
      <c r="O161" s="95"/>
      <c r="P161" s="95"/>
      <c r="Q161" s="95"/>
      <c r="R161" s="95"/>
      <c r="S161" s="95"/>
      <c r="T161" s="95"/>
      <c r="U161" s="95"/>
    </row>
    <row r="162" spans="1:21" x14ac:dyDescent="0.25">
      <c r="A162" s="95"/>
      <c r="B162" s="95"/>
      <c r="C162" s="95"/>
      <c r="D162" s="95"/>
      <c r="E162" s="95"/>
      <c r="F162" s="95"/>
      <c r="G162" s="95"/>
      <c r="H162" s="95"/>
      <c r="I162" s="95"/>
      <c r="J162" s="95"/>
      <c r="K162" s="95"/>
      <c r="L162" s="95"/>
      <c r="M162" s="95"/>
      <c r="N162" s="95"/>
      <c r="O162" s="95"/>
      <c r="P162" s="95"/>
      <c r="Q162" s="95"/>
      <c r="R162" s="95"/>
      <c r="S162" s="95"/>
      <c r="T162" s="95"/>
      <c r="U162" s="95"/>
    </row>
    <row r="163" spans="1:21" x14ac:dyDescent="0.25">
      <c r="A163" s="95"/>
      <c r="B163" s="95"/>
      <c r="C163" s="95"/>
      <c r="D163" s="95"/>
      <c r="E163" s="95"/>
      <c r="F163" s="95"/>
      <c r="G163" s="95"/>
      <c r="H163" s="95"/>
      <c r="I163" s="95"/>
      <c r="J163" s="95"/>
      <c r="K163" s="95"/>
      <c r="L163" s="95"/>
      <c r="M163" s="95"/>
      <c r="N163" s="95"/>
      <c r="O163" s="95"/>
      <c r="P163" s="95"/>
      <c r="Q163" s="95"/>
      <c r="R163" s="95"/>
      <c r="S163" s="95"/>
      <c r="T163" s="95"/>
      <c r="U163" s="95"/>
    </row>
    <row r="164" spans="1:21" x14ac:dyDescent="0.25">
      <c r="A164" s="95"/>
      <c r="B164" s="95"/>
      <c r="C164" s="95"/>
      <c r="D164" s="95"/>
      <c r="E164" s="95"/>
      <c r="F164" s="95"/>
      <c r="G164" s="95"/>
      <c r="H164" s="95"/>
      <c r="I164" s="95"/>
      <c r="J164" s="95"/>
      <c r="K164" s="95"/>
      <c r="L164" s="95"/>
      <c r="M164" s="95"/>
      <c r="N164" s="95"/>
      <c r="O164" s="95"/>
      <c r="P164" s="95"/>
      <c r="Q164" s="95"/>
      <c r="R164" s="95"/>
      <c r="S164" s="95"/>
      <c r="T164" s="95"/>
      <c r="U164" s="95"/>
    </row>
    <row r="165" spans="1:21" x14ac:dyDescent="0.25">
      <c r="A165" s="95"/>
      <c r="B165" s="95"/>
      <c r="C165" s="95"/>
      <c r="D165" s="95"/>
      <c r="E165" s="95"/>
      <c r="F165" s="95"/>
      <c r="G165" s="95"/>
      <c r="H165" s="95"/>
      <c r="I165" s="95"/>
      <c r="J165" s="95"/>
      <c r="K165" s="95"/>
      <c r="L165" s="95"/>
      <c r="M165" s="95"/>
      <c r="N165" s="95"/>
      <c r="O165" s="95"/>
      <c r="P165" s="95"/>
      <c r="Q165" s="95"/>
      <c r="R165" s="95"/>
      <c r="S165" s="95"/>
      <c r="T165" s="95"/>
      <c r="U165" s="95"/>
    </row>
    <row r="166" spans="1:21" x14ac:dyDescent="0.25">
      <c r="A166" s="95"/>
      <c r="B166" s="95"/>
      <c r="C166" s="95"/>
      <c r="D166" s="95"/>
      <c r="E166" s="95"/>
      <c r="F166" s="95"/>
      <c r="G166" s="95"/>
      <c r="H166" s="95"/>
      <c r="I166" s="95"/>
      <c r="J166" s="95"/>
      <c r="K166" s="95"/>
      <c r="L166" s="95"/>
      <c r="M166" s="95"/>
      <c r="N166" s="95"/>
      <c r="O166" s="95"/>
      <c r="P166" s="95"/>
      <c r="Q166" s="95"/>
      <c r="R166" s="95"/>
      <c r="S166" s="95"/>
      <c r="T166" s="95"/>
      <c r="U166" s="95"/>
    </row>
    <row r="167" spans="1:21" x14ac:dyDescent="0.25">
      <c r="A167" s="95"/>
      <c r="B167" s="95"/>
      <c r="C167" s="95"/>
      <c r="D167" s="95"/>
      <c r="E167" s="95"/>
      <c r="F167" s="95"/>
      <c r="G167" s="95"/>
      <c r="H167" s="95"/>
      <c r="I167" s="95"/>
      <c r="J167" s="95"/>
      <c r="K167" s="95"/>
      <c r="L167" s="95"/>
      <c r="M167" s="95"/>
      <c r="N167" s="95"/>
      <c r="O167" s="95"/>
      <c r="P167" s="95"/>
      <c r="Q167" s="95"/>
      <c r="R167" s="95"/>
      <c r="S167" s="95"/>
      <c r="T167" s="95"/>
      <c r="U167" s="95"/>
    </row>
    <row r="168" spans="1:21" x14ac:dyDescent="0.25">
      <c r="A168" s="95"/>
      <c r="B168" s="95"/>
      <c r="C168" s="95"/>
      <c r="D168" s="95"/>
      <c r="E168" s="95"/>
      <c r="F168" s="95"/>
      <c r="G168" s="95"/>
      <c r="H168" s="95"/>
      <c r="I168" s="95"/>
      <c r="J168" s="95"/>
      <c r="K168" s="95"/>
      <c r="L168" s="95"/>
      <c r="M168" s="95"/>
      <c r="N168" s="95"/>
      <c r="O168" s="95"/>
      <c r="P168" s="95"/>
      <c r="Q168" s="95"/>
      <c r="R168" s="95"/>
      <c r="S168" s="95"/>
      <c r="T168" s="95"/>
      <c r="U168" s="95"/>
    </row>
    <row r="169" spans="1:21" x14ac:dyDescent="0.25">
      <c r="A169" s="95"/>
      <c r="B169" s="95"/>
      <c r="C169" s="95"/>
      <c r="D169" s="95"/>
      <c r="E169" s="95"/>
      <c r="F169" s="95"/>
      <c r="G169" s="95"/>
      <c r="H169" s="95"/>
      <c r="I169" s="95"/>
      <c r="J169" s="95"/>
      <c r="K169" s="95"/>
      <c r="L169" s="95"/>
      <c r="M169" s="95"/>
      <c r="N169" s="95"/>
      <c r="O169" s="95"/>
      <c r="P169" s="95"/>
      <c r="Q169" s="95"/>
      <c r="R169" s="95"/>
      <c r="S169" s="95"/>
      <c r="T169" s="95"/>
      <c r="U169" s="95"/>
    </row>
    <row r="170" spans="1:21" x14ac:dyDescent="0.25">
      <c r="A170" s="95"/>
      <c r="B170" s="95"/>
      <c r="C170" s="95"/>
      <c r="D170" s="95"/>
      <c r="E170" s="95"/>
      <c r="F170" s="95"/>
      <c r="G170" s="95"/>
      <c r="H170" s="95"/>
      <c r="I170" s="95"/>
      <c r="J170" s="95"/>
      <c r="K170" s="95"/>
      <c r="L170" s="95"/>
      <c r="M170" s="95"/>
      <c r="N170" s="95"/>
      <c r="O170" s="95"/>
      <c r="P170" s="95"/>
      <c r="Q170" s="95"/>
      <c r="R170" s="95"/>
      <c r="S170" s="95"/>
      <c r="T170" s="95"/>
      <c r="U170" s="95"/>
    </row>
    <row r="171" spans="1:21" x14ac:dyDescent="0.25">
      <c r="A171" s="95"/>
      <c r="B171" s="95"/>
      <c r="C171" s="95"/>
      <c r="D171" s="95"/>
      <c r="E171" s="95"/>
      <c r="F171" s="95"/>
      <c r="G171" s="95"/>
      <c r="H171" s="95"/>
      <c r="I171" s="95"/>
      <c r="J171" s="95"/>
      <c r="K171" s="95"/>
      <c r="L171" s="95"/>
      <c r="M171" s="95"/>
      <c r="N171" s="95"/>
      <c r="O171" s="95"/>
      <c r="P171" s="95"/>
      <c r="Q171" s="95"/>
      <c r="R171" s="95"/>
      <c r="S171" s="95"/>
      <c r="T171" s="95"/>
      <c r="U171" s="95"/>
    </row>
    <row r="172" spans="1:21" x14ac:dyDescent="0.25">
      <c r="A172" s="95"/>
      <c r="B172" s="95"/>
      <c r="C172" s="95"/>
      <c r="D172" s="95"/>
      <c r="E172" s="95"/>
      <c r="F172" s="95"/>
      <c r="G172" s="95"/>
      <c r="H172" s="95"/>
      <c r="I172" s="95"/>
      <c r="J172" s="95"/>
      <c r="K172" s="95"/>
      <c r="L172" s="95"/>
      <c r="M172" s="95"/>
      <c r="N172" s="95"/>
      <c r="O172" s="95"/>
      <c r="P172" s="95"/>
      <c r="Q172" s="95"/>
      <c r="R172" s="95"/>
      <c r="S172" s="95"/>
      <c r="T172" s="95"/>
      <c r="U172" s="95"/>
    </row>
    <row r="173" spans="1:21" x14ac:dyDescent="0.25">
      <c r="A173" s="95"/>
      <c r="B173" s="95"/>
      <c r="C173" s="95"/>
      <c r="D173" s="95"/>
      <c r="E173" s="95"/>
      <c r="F173" s="95"/>
      <c r="G173" s="95"/>
      <c r="H173" s="95"/>
      <c r="I173" s="95"/>
      <c r="J173" s="95"/>
      <c r="K173" s="95"/>
      <c r="L173" s="95"/>
      <c r="M173" s="95"/>
      <c r="N173" s="95"/>
      <c r="O173" s="95"/>
      <c r="P173" s="95"/>
      <c r="Q173" s="95"/>
      <c r="R173" s="95"/>
      <c r="S173" s="95"/>
      <c r="T173" s="95"/>
      <c r="U173" s="95"/>
    </row>
    <row r="174" spans="1:21" x14ac:dyDescent="0.25">
      <c r="A174" s="95"/>
      <c r="B174" s="95"/>
      <c r="C174" s="95"/>
      <c r="D174" s="95"/>
      <c r="E174" s="95"/>
      <c r="F174" s="95"/>
      <c r="G174" s="95"/>
      <c r="H174" s="95"/>
      <c r="I174" s="95"/>
      <c r="J174" s="95"/>
      <c r="K174" s="95"/>
      <c r="L174" s="95"/>
      <c r="M174" s="95"/>
      <c r="N174" s="95"/>
      <c r="O174" s="95"/>
      <c r="P174" s="95"/>
      <c r="Q174" s="95"/>
      <c r="R174" s="95"/>
      <c r="S174" s="95"/>
      <c r="T174" s="95"/>
      <c r="U174" s="95"/>
    </row>
    <row r="175" spans="1:21" x14ac:dyDescent="0.25">
      <c r="A175" s="95"/>
      <c r="B175" s="95"/>
      <c r="C175" s="95"/>
      <c r="D175" s="95"/>
      <c r="E175" s="95"/>
      <c r="F175" s="95"/>
      <c r="G175" s="95"/>
      <c r="H175" s="95"/>
      <c r="I175" s="95"/>
      <c r="J175" s="95"/>
      <c r="K175" s="95"/>
      <c r="L175" s="95"/>
      <c r="M175" s="95"/>
      <c r="N175" s="95"/>
      <c r="O175" s="95"/>
      <c r="P175" s="95"/>
      <c r="Q175" s="95"/>
      <c r="R175" s="95"/>
      <c r="S175" s="95"/>
      <c r="T175" s="95"/>
      <c r="U175" s="95"/>
    </row>
    <row r="176" spans="1:21" x14ac:dyDescent="0.25">
      <c r="A176" s="95"/>
      <c r="B176" s="95"/>
      <c r="C176" s="95"/>
      <c r="D176" s="95"/>
      <c r="E176" s="95"/>
      <c r="F176" s="95"/>
      <c r="G176" s="95"/>
      <c r="H176" s="95"/>
      <c r="I176" s="95"/>
      <c r="J176" s="95"/>
      <c r="K176" s="95"/>
      <c r="L176" s="95"/>
      <c r="M176" s="95"/>
      <c r="N176" s="95"/>
      <c r="O176" s="95"/>
      <c r="P176" s="95"/>
      <c r="Q176" s="95"/>
      <c r="R176" s="95"/>
      <c r="S176" s="95"/>
      <c r="T176" s="95"/>
      <c r="U176" s="95"/>
    </row>
    <row r="177" spans="1:21" x14ac:dyDescent="0.25">
      <c r="A177" s="95"/>
      <c r="B177" s="95"/>
      <c r="C177" s="95"/>
      <c r="D177" s="95"/>
      <c r="E177" s="95"/>
      <c r="F177" s="95"/>
      <c r="G177" s="95"/>
      <c r="H177" s="95"/>
      <c r="I177" s="95"/>
      <c r="J177" s="95"/>
      <c r="K177" s="95"/>
      <c r="L177" s="95"/>
      <c r="M177" s="95"/>
      <c r="N177" s="95"/>
      <c r="O177" s="95"/>
      <c r="P177" s="95"/>
      <c r="Q177" s="95"/>
      <c r="R177" s="95"/>
      <c r="S177" s="95"/>
      <c r="T177" s="95"/>
      <c r="U177" s="95"/>
    </row>
    <row r="178" spans="1:21" x14ac:dyDescent="0.25">
      <c r="A178" s="95"/>
      <c r="B178" s="95"/>
      <c r="C178" s="95"/>
      <c r="D178" s="95"/>
      <c r="E178" s="95"/>
      <c r="F178" s="95"/>
      <c r="G178" s="95"/>
      <c r="H178" s="95"/>
      <c r="I178" s="95"/>
      <c r="J178" s="95"/>
      <c r="K178" s="95"/>
      <c r="L178" s="95"/>
      <c r="M178" s="95"/>
      <c r="N178" s="95"/>
      <c r="O178" s="95"/>
      <c r="P178" s="95"/>
      <c r="Q178" s="95"/>
      <c r="R178" s="95"/>
      <c r="S178" s="95"/>
      <c r="T178" s="95"/>
      <c r="U178" s="95"/>
    </row>
    <row r="179" spans="1:21" x14ac:dyDescent="0.25">
      <c r="A179" s="95"/>
      <c r="B179" s="95"/>
      <c r="C179" s="95"/>
      <c r="D179" s="95"/>
      <c r="E179" s="95"/>
      <c r="F179" s="95"/>
      <c r="G179" s="95"/>
      <c r="H179" s="95"/>
      <c r="I179" s="95"/>
      <c r="J179" s="95"/>
      <c r="K179" s="95"/>
      <c r="L179" s="95"/>
      <c r="M179" s="95"/>
      <c r="N179" s="95"/>
      <c r="O179" s="95"/>
      <c r="P179" s="95"/>
      <c r="Q179" s="95"/>
      <c r="R179" s="95"/>
      <c r="S179" s="95"/>
      <c r="T179" s="95"/>
      <c r="U179" s="95"/>
    </row>
    <row r="180" spans="1:21" x14ac:dyDescent="0.25">
      <c r="A180" s="95"/>
      <c r="B180" s="95"/>
      <c r="C180" s="95"/>
      <c r="D180" s="95"/>
      <c r="E180" s="95"/>
      <c r="F180" s="95"/>
      <c r="G180" s="95"/>
      <c r="H180" s="95"/>
      <c r="I180" s="95"/>
      <c r="J180" s="95"/>
      <c r="K180" s="95"/>
      <c r="L180" s="95"/>
      <c r="M180" s="95"/>
      <c r="N180" s="95"/>
      <c r="O180" s="95"/>
      <c r="P180" s="95"/>
      <c r="Q180" s="95"/>
      <c r="R180" s="95"/>
      <c r="S180" s="95"/>
      <c r="T180" s="95"/>
      <c r="U180" s="95"/>
    </row>
    <row r="181" spans="1:21" x14ac:dyDescent="0.25">
      <c r="A181" s="95"/>
      <c r="B181" s="95"/>
      <c r="C181" s="95"/>
      <c r="D181" s="95"/>
      <c r="E181" s="95"/>
      <c r="F181" s="95"/>
      <c r="G181" s="95"/>
      <c r="H181" s="95"/>
      <c r="I181" s="95"/>
      <c r="J181" s="95"/>
      <c r="K181" s="95"/>
      <c r="L181" s="95"/>
      <c r="M181" s="95"/>
      <c r="N181" s="95"/>
      <c r="O181" s="95"/>
      <c r="P181" s="95"/>
      <c r="Q181" s="95"/>
      <c r="R181" s="95"/>
      <c r="S181" s="95"/>
      <c r="T181" s="95"/>
      <c r="U181" s="95"/>
    </row>
    <row r="182" spans="1:21" x14ac:dyDescent="0.25">
      <c r="A182" s="95"/>
      <c r="B182" s="95"/>
      <c r="C182" s="95"/>
      <c r="D182" s="95"/>
      <c r="E182" s="95"/>
      <c r="F182" s="95"/>
      <c r="G182" s="95"/>
      <c r="H182" s="95"/>
      <c r="I182" s="95"/>
      <c r="J182" s="95"/>
      <c r="K182" s="95"/>
      <c r="L182" s="95"/>
      <c r="M182" s="95"/>
      <c r="N182" s="95"/>
      <c r="O182" s="95"/>
      <c r="P182" s="95"/>
      <c r="Q182" s="95"/>
      <c r="R182" s="95"/>
      <c r="S182" s="95"/>
      <c r="T182" s="95"/>
      <c r="U182" s="95"/>
    </row>
    <row r="183" spans="1:21" x14ac:dyDescent="0.25">
      <c r="A183" s="95"/>
      <c r="B183" s="95"/>
      <c r="C183" s="95"/>
      <c r="D183" s="95"/>
      <c r="E183" s="95"/>
      <c r="F183" s="95"/>
      <c r="G183" s="95"/>
      <c r="H183" s="95"/>
      <c r="I183" s="95"/>
      <c r="J183" s="95"/>
      <c r="K183" s="95"/>
      <c r="L183" s="95"/>
      <c r="M183" s="95"/>
      <c r="N183" s="95"/>
      <c r="O183" s="95"/>
      <c r="P183" s="95"/>
      <c r="Q183" s="95"/>
      <c r="R183" s="95"/>
      <c r="S183" s="95"/>
      <c r="T183" s="95"/>
      <c r="U183" s="95"/>
    </row>
    <row r="184" spans="1:21" x14ac:dyDescent="0.25">
      <c r="A184" s="95"/>
      <c r="B184" s="95"/>
      <c r="C184" s="95"/>
      <c r="D184" s="95"/>
      <c r="E184" s="95"/>
      <c r="F184" s="95"/>
      <c r="G184" s="95"/>
      <c r="H184" s="95"/>
      <c r="I184" s="95"/>
      <c r="J184" s="95"/>
      <c r="K184" s="95"/>
      <c r="L184" s="95"/>
      <c r="M184" s="95"/>
      <c r="N184" s="95"/>
      <c r="O184" s="95"/>
      <c r="P184" s="95"/>
      <c r="Q184" s="95"/>
      <c r="R184" s="95"/>
      <c r="S184" s="95"/>
      <c r="T184" s="95"/>
      <c r="U184" s="95"/>
    </row>
    <row r="185" spans="1:21" x14ac:dyDescent="0.25">
      <c r="A185" s="95"/>
      <c r="B185" s="95"/>
      <c r="C185" s="95"/>
      <c r="D185" s="95"/>
      <c r="E185" s="95"/>
      <c r="F185" s="95"/>
      <c r="G185" s="95"/>
      <c r="H185" s="95"/>
      <c r="I185" s="95"/>
      <c r="J185" s="95"/>
      <c r="K185" s="95"/>
      <c r="L185" s="95"/>
      <c r="M185" s="95"/>
      <c r="N185" s="95"/>
      <c r="O185" s="95"/>
      <c r="P185" s="95"/>
      <c r="Q185" s="95"/>
      <c r="R185" s="95"/>
      <c r="S185" s="95"/>
      <c r="T185" s="95"/>
      <c r="U185" s="95"/>
    </row>
    <row r="186" spans="1:21" x14ac:dyDescent="0.25">
      <c r="A186" s="95"/>
      <c r="B186" s="95"/>
      <c r="C186" s="95"/>
      <c r="D186" s="95"/>
      <c r="E186" s="95"/>
      <c r="F186" s="95"/>
      <c r="G186" s="95"/>
      <c r="H186" s="95"/>
      <c r="I186" s="95"/>
      <c r="J186" s="95"/>
      <c r="K186" s="95"/>
      <c r="L186" s="95"/>
      <c r="M186" s="95"/>
      <c r="N186" s="95"/>
      <c r="O186" s="95"/>
      <c r="P186" s="95"/>
      <c r="Q186" s="95"/>
      <c r="R186" s="95"/>
      <c r="S186" s="95"/>
      <c r="T186" s="95"/>
      <c r="U186" s="95"/>
    </row>
    <row r="187" spans="1:21" x14ac:dyDescent="0.25">
      <c r="A187" s="95"/>
      <c r="B187" s="95"/>
      <c r="C187" s="95"/>
      <c r="D187" s="95"/>
      <c r="E187" s="95"/>
      <c r="F187" s="95"/>
      <c r="G187" s="95"/>
      <c r="H187" s="95"/>
      <c r="I187" s="95"/>
      <c r="J187" s="95"/>
      <c r="K187" s="95"/>
      <c r="L187" s="95"/>
      <c r="M187" s="95"/>
      <c r="N187" s="95"/>
      <c r="O187" s="95"/>
      <c r="P187" s="95"/>
      <c r="Q187" s="95"/>
      <c r="R187" s="95"/>
      <c r="S187" s="95"/>
      <c r="T187" s="95"/>
      <c r="U187" s="95"/>
    </row>
    <row r="188" spans="1:21" x14ac:dyDescent="0.25">
      <c r="A188" s="95"/>
      <c r="B188" s="95"/>
      <c r="C188" s="95"/>
      <c r="D188" s="95"/>
      <c r="E188" s="95"/>
      <c r="F188" s="95"/>
      <c r="G188" s="95"/>
      <c r="H188" s="95"/>
      <c r="I188" s="95"/>
      <c r="J188" s="95"/>
      <c r="K188" s="95"/>
      <c r="L188" s="95"/>
      <c r="M188" s="95"/>
      <c r="N188" s="95"/>
      <c r="O188" s="95"/>
      <c r="P188" s="95"/>
      <c r="Q188" s="95"/>
      <c r="R188" s="95"/>
      <c r="S188" s="95"/>
      <c r="T188" s="95"/>
      <c r="U188" s="95"/>
    </row>
    <row r="189" spans="1:21" x14ac:dyDescent="0.25">
      <c r="A189" s="95"/>
      <c r="B189" s="95"/>
      <c r="C189" s="95"/>
      <c r="D189" s="95"/>
      <c r="E189" s="95"/>
      <c r="F189" s="95"/>
      <c r="G189" s="95"/>
      <c r="H189" s="95"/>
      <c r="I189" s="95"/>
      <c r="J189" s="95"/>
      <c r="K189" s="95"/>
      <c r="L189" s="95"/>
      <c r="M189" s="95"/>
      <c r="N189" s="95"/>
      <c r="O189" s="95"/>
      <c r="P189" s="95"/>
      <c r="Q189" s="95"/>
      <c r="R189" s="95"/>
      <c r="S189" s="95"/>
      <c r="T189" s="95"/>
      <c r="U189" s="95"/>
    </row>
    <row r="190" spans="1:21" x14ac:dyDescent="0.25">
      <c r="A190" s="95"/>
      <c r="B190" s="95"/>
      <c r="C190" s="95"/>
      <c r="D190" s="95"/>
      <c r="E190" s="95"/>
      <c r="F190" s="95"/>
      <c r="G190" s="95"/>
      <c r="H190" s="95"/>
      <c r="I190" s="95"/>
      <c r="J190" s="95"/>
      <c r="K190" s="95"/>
      <c r="L190" s="95"/>
      <c r="M190" s="95"/>
      <c r="N190" s="95"/>
      <c r="O190" s="95"/>
      <c r="P190" s="95"/>
      <c r="Q190" s="95"/>
      <c r="R190" s="95"/>
      <c r="S190" s="95"/>
      <c r="T190" s="95"/>
      <c r="U190" s="95"/>
    </row>
    <row r="191" spans="1:21" x14ac:dyDescent="0.25">
      <c r="A191" s="95"/>
      <c r="B191" s="95"/>
      <c r="C191" s="95"/>
      <c r="D191" s="95"/>
      <c r="E191" s="95"/>
      <c r="F191" s="95"/>
      <c r="G191" s="95"/>
      <c r="H191" s="95"/>
      <c r="I191" s="95"/>
      <c r="J191" s="95"/>
      <c r="K191" s="95"/>
      <c r="L191" s="95"/>
      <c r="M191" s="95"/>
      <c r="N191" s="95"/>
      <c r="O191" s="95"/>
      <c r="P191" s="95"/>
      <c r="Q191" s="95"/>
      <c r="R191" s="95"/>
      <c r="S191" s="95"/>
      <c r="T191" s="95"/>
      <c r="U191" s="95"/>
    </row>
    <row r="192" spans="1:21" x14ac:dyDescent="0.25">
      <c r="A192" s="95"/>
      <c r="B192" s="95"/>
      <c r="C192" s="95"/>
      <c r="D192" s="95"/>
      <c r="E192" s="95"/>
      <c r="F192" s="95"/>
      <c r="G192" s="95"/>
      <c r="H192" s="95"/>
      <c r="I192" s="95"/>
      <c r="J192" s="95"/>
      <c r="K192" s="95"/>
      <c r="L192" s="95"/>
      <c r="M192" s="95"/>
      <c r="N192" s="95"/>
      <c r="O192" s="95"/>
      <c r="P192" s="95"/>
      <c r="Q192" s="95"/>
      <c r="R192" s="95"/>
      <c r="S192" s="95"/>
      <c r="T192" s="95"/>
      <c r="U192" s="95"/>
    </row>
    <row r="193" spans="1:21" x14ac:dyDescent="0.25">
      <c r="A193" s="95"/>
      <c r="B193" s="95"/>
      <c r="C193" s="95"/>
      <c r="D193" s="95"/>
      <c r="E193" s="95"/>
      <c r="F193" s="95"/>
      <c r="G193" s="95"/>
      <c r="H193" s="95"/>
      <c r="I193" s="95"/>
      <c r="J193" s="95"/>
      <c r="K193" s="95"/>
      <c r="L193" s="95"/>
      <c r="M193" s="95"/>
      <c r="N193" s="95"/>
      <c r="O193" s="95"/>
      <c r="P193" s="95"/>
      <c r="Q193" s="95"/>
      <c r="R193" s="95"/>
      <c r="S193" s="95"/>
      <c r="T193" s="95"/>
      <c r="U193" s="95"/>
    </row>
    <row r="194" spans="1:21" x14ac:dyDescent="0.25">
      <c r="A194" s="95"/>
      <c r="B194" s="95"/>
      <c r="C194" s="95"/>
      <c r="D194" s="95"/>
      <c r="E194" s="95"/>
      <c r="F194" s="95"/>
      <c r="G194" s="95"/>
      <c r="H194" s="95"/>
      <c r="I194" s="95"/>
      <c r="J194" s="95"/>
      <c r="K194" s="95"/>
      <c r="L194" s="95"/>
      <c r="M194" s="95"/>
      <c r="N194" s="95"/>
      <c r="O194" s="95"/>
      <c r="P194" s="95"/>
      <c r="Q194" s="95"/>
      <c r="R194" s="95"/>
      <c r="S194" s="95"/>
      <c r="T194" s="95"/>
      <c r="U194" s="95"/>
    </row>
    <row r="195" spans="1:21" x14ac:dyDescent="0.25">
      <c r="A195" s="95"/>
      <c r="B195" s="95"/>
      <c r="C195" s="95"/>
      <c r="D195" s="95"/>
      <c r="E195" s="95"/>
      <c r="F195" s="95"/>
      <c r="G195" s="95"/>
      <c r="H195" s="95"/>
      <c r="I195" s="95"/>
      <c r="J195" s="95"/>
      <c r="K195" s="95"/>
      <c r="L195" s="95"/>
      <c r="M195" s="95"/>
      <c r="N195" s="95"/>
      <c r="O195" s="95"/>
      <c r="P195" s="95"/>
      <c r="Q195" s="95"/>
      <c r="R195" s="95"/>
      <c r="S195" s="95"/>
      <c r="T195" s="95"/>
      <c r="U195" s="95"/>
    </row>
    <row r="196" spans="1:21" x14ac:dyDescent="0.25">
      <c r="A196" s="95"/>
      <c r="B196" s="95"/>
      <c r="C196" s="95"/>
      <c r="D196" s="95"/>
      <c r="E196" s="95"/>
      <c r="F196" s="95"/>
      <c r="G196" s="95"/>
      <c r="H196" s="95"/>
      <c r="I196" s="95"/>
      <c r="J196" s="95"/>
      <c r="K196" s="95"/>
      <c r="L196" s="95"/>
      <c r="M196" s="95"/>
      <c r="N196" s="95"/>
      <c r="O196" s="95"/>
      <c r="P196" s="95"/>
      <c r="Q196" s="95"/>
      <c r="R196" s="95"/>
      <c r="S196" s="95"/>
      <c r="T196" s="95"/>
      <c r="U196" s="95"/>
    </row>
    <row r="197" spans="1:21" x14ac:dyDescent="0.25">
      <c r="A197" s="95"/>
      <c r="B197" s="95"/>
      <c r="C197" s="95"/>
      <c r="D197" s="95"/>
      <c r="E197" s="95"/>
      <c r="F197" s="95"/>
      <c r="G197" s="95"/>
      <c r="H197" s="95"/>
      <c r="I197" s="95"/>
      <c r="J197" s="95"/>
      <c r="K197" s="95"/>
      <c r="L197" s="95"/>
      <c r="M197" s="95"/>
      <c r="N197" s="95"/>
      <c r="O197" s="95"/>
      <c r="P197" s="95"/>
      <c r="Q197" s="95"/>
      <c r="R197" s="95"/>
      <c r="S197" s="95"/>
      <c r="T197" s="95"/>
      <c r="U197" s="95"/>
    </row>
    <row r="198" spans="1:21" x14ac:dyDescent="0.25">
      <c r="A198" s="95"/>
      <c r="B198" s="95"/>
      <c r="C198" s="95"/>
      <c r="D198" s="95"/>
      <c r="E198" s="95"/>
      <c r="F198" s="95"/>
      <c r="G198" s="95"/>
      <c r="H198" s="95"/>
      <c r="I198" s="95"/>
      <c r="J198" s="95"/>
      <c r="K198" s="95"/>
      <c r="L198" s="95"/>
      <c r="M198" s="95"/>
      <c r="N198" s="95"/>
      <c r="O198" s="95"/>
      <c r="P198" s="95"/>
      <c r="Q198" s="95"/>
      <c r="R198" s="95"/>
      <c r="S198" s="95"/>
      <c r="T198" s="95"/>
      <c r="U198" s="95"/>
    </row>
    <row r="199" spans="1:21" x14ac:dyDescent="0.25">
      <c r="A199" s="95"/>
      <c r="B199" s="95"/>
      <c r="C199" s="95"/>
      <c r="D199" s="95"/>
      <c r="E199" s="95"/>
      <c r="F199" s="95"/>
      <c r="G199" s="95"/>
      <c r="H199" s="95"/>
      <c r="I199" s="95"/>
      <c r="J199" s="95"/>
      <c r="K199" s="95"/>
      <c r="L199" s="95"/>
      <c r="M199" s="95"/>
      <c r="N199" s="95"/>
      <c r="O199" s="95"/>
      <c r="P199" s="95"/>
      <c r="Q199" s="95"/>
      <c r="R199" s="95"/>
      <c r="S199" s="95"/>
      <c r="T199" s="95"/>
      <c r="U199" s="95"/>
    </row>
    <row r="200" spans="1:21" x14ac:dyDescent="0.25">
      <c r="A200" s="95"/>
      <c r="B200" s="95"/>
      <c r="C200" s="95"/>
      <c r="D200" s="95"/>
      <c r="E200" s="95"/>
      <c r="F200" s="95"/>
      <c r="G200" s="95"/>
      <c r="H200" s="95"/>
      <c r="I200" s="95"/>
      <c r="J200" s="95"/>
      <c r="K200" s="95"/>
      <c r="L200" s="95"/>
      <c r="M200" s="95"/>
      <c r="N200" s="95"/>
      <c r="O200" s="95"/>
      <c r="P200" s="95"/>
      <c r="Q200" s="95"/>
      <c r="R200" s="95"/>
      <c r="S200" s="95"/>
      <c r="T200" s="95"/>
      <c r="U200" s="95"/>
    </row>
    <row r="201" spans="1:21" x14ac:dyDescent="0.25">
      <c r="A201" s="95"/>
      <c r="B201" s="95"/>
      <c r="C201" s="95"/>
      <c r="D201" s="95"/>
      <c r="E201" s="95"/>
      <c r="F201" s="95"/>
      <c r="G201" s="95"/>
      <c r="H201" s="95"/>
      <c r="I201" s="95"/>
      <c r="J201" s="95"/>
      <c r="K201" s="95"/>
      <c r="L201" s="95"/>
      <c r="M201" s="95"/>
      <c r="N201" s="95"/>
      <c r="O201" s="95"/>
      <c r="P201" s="95"/>
      <c r="Q201" s="95"/>
      <c r="R201" s="95"/>
      <c r="S201" s="95"/>
      <c r="T201" s="95"/>
      <c r="U201" s="95"/>
    </row>
    <row r="202" spans="1:21" x14ac:dyDescent="0.25">
      <c r="A202" s="95"/>
      <c r="B202" s="95"/>
      <c r="C202" s="95"/>
      <c r="D202" s="95"/>
      <c r="E202" s="95"/>
      <c r="F202" s="95"/>
      <c r="G202" s="95"/>
      <c r="H202" s="95"/>
      <c r="I202" s="95"/>
      <c r="J202" s="95"/>
      <c r="K202" s="95"/>
      <c r="L202" s="95"/>
      <c r="M202" s="95"/>
      <c r="N202" s="95"/>
      <c r="O202" s="95"/>
      <c r="P202" s="95"/>
      <c r="Q202" s="95"/>
      <c r="R202" s="95"/>
      <c r="S202" s="95"/>
      <c r="T202" s="95"/>
      <c r="U202" s="95"/>
    </row>
    <row r="203" spans="1:21" x14ac:dyDescent="0.25">
      <c r="A203" s="95"/>
      <c r="B203" s="95"/>
      <c r="C203" s="95"/>
      <c r="D203" s="95"/>
      <c r="E203" s="95"/>
      <c r="F203" s="95"/>
      <c r="G203" s="95"/>
      <c r="H203" s="95"/>
      <c r="I203" s="95"/>
      <c r="J203" s="95"/>
      <c r="K203" s="95"/>
      <c r="L203" s="95"/>
      <c r="M203" s="95"/>
      <c r="N203" s="95"/>
      <c r="O203" s="95"/>
      <c r="P203" s="95"/>
      <c r="Q203" s="95"/>
      <c r="R203" s="95"/>
      <c r="S203" s="95"/>
      <c r="T203" s="95"/>
      <c r="U203" s="95"/>
    </row>
    <row r="204" spans="1:21" x14ac:dyDescent="0.25">
      <c r="A204" s="95"/>
      <c r="B204" s="95"/>
      <c r="C204" s="95"/>
      <c r="D204" s="95"/>
      <c r="E204" s="95"/>
      <c r="F204" s="95"/>
      <c r="G204" s="95"/>
      <c r="H204" s="95"/>
      <c r="I204" s="95"/>
      <c r="J204" s="95"/>
      <c r="K204" s="95"/>
      <c r="L204" s="95"/>
      <c r="M204" s="95"/>
      <c r="N204" s="95"/>
      <c r="O204" s="95"/>
      <c r="P204" s="95"/>
      <c r="Q204" s="95"/>
      <c r="R204" s="95"/>
      <c r="S204" s="95"/>
      <c r="T204" s="95"/>
      <c r="U204" s="95"/>
    </row>
    <row r="205" spans="1:21" x14ac:dyDescent="0.25">
      <c r="A205" s="95"/>
      <c r="B205" s="95"/>
      <c r="C205" s="95"/>
      <c r="D205" s="95"/>
      <c r="E205" s="95"/>
      <c r="F205" s="95"/>
      <c r="G205" s="95"/>
      <c r="H205" s="95"/>
      <c r="I205" s="95"/>
      <c r="J205" s="95"/>
      <c r="K205" s="95"/>
      <c r="L205" s="95"/>
      <c r="M205" s="95"/>
      <c r="N205" s="95"/>
      <c r="O205" s="95"/>
      <c r="P205" s="95"/>
      <c r="Q205" s="95"/>
      <c r="R205" s="95"/>
      <c r="S205" s="95"/>
      <c r="T205" s="95"/>
      <c r="U205" s="95"/>
    </row>
    <row r="206" spans="1:21" x14ac:dyDescent="0.25">
      <c r="A206" s="95"/>
      <c r="B206" s="95"/>
      <c r="C206" s="95"/>
      <c r="D206" s="95"/>
      <c r="E206" s="95"/>
      <c r="F206" s="95"/>
      <c r="G206" s="95"/>
      <c r="H206" s="95"/>
      <c r="I206" s="95"/>
      <c r="J206" s="95"/>
      <c r="K206" s="95"/>
      <c r="L206" s="95"/>
      <c r="M206" s="95"/>
      <c r="N206" s="95"/>
      <c r="O206" s="95"/>
      <c r="P206" s="95"/>
      <c r="Q206" s="95"/>
      <c r="R206" s="95"/>
      <c r="S206" s="95"/>
      <c r="T206" s="95"/>
      <c r="U206" s="95"/>
    </row>
    <row r="207" spans="1:21" x14ac:dyDescent="0.25">
      <c r="A207" s="95"/>
      <c r="B207" s="95"/>
      <c r="C207" s="95"/>
      <c r="D207" s="95"/>
      <c r="E207" s="95"/>
      <c r="F207" s="95"/>
      <c r="G207" s="95"/>
      <c r="H207" s="95"/>
      <c r="I207" s="95"/>
      <c r="J207" s="95"/>
      <c r="K207" s="95"/>
      <c r="L207" s="95"/>
      <c r="M207" s="95"/>
      <c r="N207" s="95"/>
      <c r="O207" s="95"/>
      <c r="P207" s="95"/>
      <c r="Q207" s="95"/>
      <c r="R207" s="95"/>
      <c r="S207" s="95"/>
      <c r="T207" s="95"/>
      <c r="U207" s="95"/>
    </row>
    <row r="208" spans="1:21" x14ac:dyDescent="0.25">
      <c r="A208" s="95"/>
      <c r="B208" s="95"/>
      <c r="C208" s="95"/>
      <c r="D208" s="95"/>
      <c r="E208" s="95"/>
      <c r="F208" s="95"/>
      <c r="G208" s="95"/>
      <c r="H208" s="95"/>
      <c r="I208" s="95"/>
      <c r="J208" s="95"/>
      <c r="K208" s="95"/>
      <c r="L208" s="95"/>
      <c r="M208" s="95"/>
      <c r="N208" s="95"/>
      <c r="O208" s="95"/>
      <c r="P208" s="95"/>
      <c r="Q208" s="95"/>
      <c r="R208" s="95"/>
      <c r="S208" s="95"/>
      <c r="T208" s="95"/>
      <c r="U208" s="95"/>
    </row>
    <row r="209" spans="1:21" x14ac:dyDescent="0.25">
      <c r="A209" s="95"/>
      <c r="B209" s="95"/>
      <c r="C209" s="95"/>
      <c r="D209" s="95"/>
      <c r="E209" s="95"/>
      <c r="F209" s="95"/>
      <c r="G209" s="95"/>
      <c r="H209" s="95"/>
      <c r="I209" s="95"/>
      <c r="J209" s="95"/>
      <c r="K209" s="95"/>
      <c r="L209" s="95"/>
      <c r="M209" s="95"/>
      <c r="N209" s="95"/>
      <c r="O209" s="95"/>
      <c r="P209" s="95"/>
      <c r="Q209" s="95"/>
      <c r="R209" s="95"/>
      <c r="S209" s="95"/>
      <c r="T209" s="95"/>
      <c r="U209" s="95"/>
    </row>
    <row r="210" spans="1:21" x14ac:dyDescent="0.25">
      <c r="A210" s="95"/>
      <c r="B210" s="95"/>
      <c r="C210" s="95"/>
      <c r="D210" s="95"/>
      <c r="E210" s="95"/>
      <c r="F210" s="95"/>
      <c r="G210" s="95"/>
      <c r="H210" s="95"/>
      <c r="I210" s="95"/>
      <c r="J210" s="95"/>
      <c r="K210" s="95"/>
      <c r="L210" s="95"/>
      <c r="M210" s="95"/>
      <c r="N210" s="95"/>
      <c r="O210" s="95"/>
      <c r="P210" s="95"/>
      <c r="Q210" s="95"/>
      <c r="R210" s="95"/>
      <c r="S210" s="95"/>
      <c r="T210" s="95"/>
      <c r="U210" s="95"/>
    </row>
    <row r="211" spans="1:21" x14ac:dyDescent="0.25">
      <c r="A211" s="95"/>
      <c r="B211" s="95"/>
      <c r="C211" s="95"/>
      <c r="D211" s="95"/>
      <c r="E211" s="95"/>
      <c r="F211" s="95"/>
      <c r="G211" s="95"/>
      <c r="H211" s="95"/>
      <c r="I211" s="95"/>
      <c r="J211" s="95"/>
      <c r="K211" s="95"/>
      <c r="L211" s="95"/>
      <c r="M211" s="95"/>
      <c r="N211" s="95"/>
      <c r="O211" s="95"/>
      <c r="P211" s="95"/>
      <c r="Q211" s="95"/>
      <c r="R211" s="95"/>
      <c r="S211" s="95"/>
      <c r="T211" s="95"/>
      <c r="U211" s="95"/>
    </row>
    <row r="212" spans="1:21" x14ac:dyDescent="0.25">
      <c r="A212" s="95"/>
      <c r="B212" s="95"/>
      <c r="C212" s="95"/>
      <c r="D212" s="95"/>
      <c r="E212" s="95"/>
      <c r="F212" s="95"/>
      <c r="G212" s="95"/>
      <c r="H212" s="95"/>
      <c r="I212" s="95"/>
      <c r="J212" s="95"/>
      <c r="K212" s="95"/>
      <c r="L212" s="95"/>
      <c r="M212" s="95"/>
      <c r="N212" s="95"/>
      <c r="O212" s="95"/>
      <c r="P212" s="95"/>
      <c r="Q212" s="95"/>
      <c r="R212" s="95"/>
      <c r="S212" s="95"/>
      <c r="T212" s="95"/>
      <c r="U212" s="95"/>
    </row>
    <row r="213" spans="1:21" x14ac:dyDescent="0.25">
      <c r="A213" s="95"/>
      <c r="B213" s="95"/>
      <c r="C213" s="95"/>
      <c r="D213" s="95"/>
      <c r="E213" s="95"/>
      <c r="F213" s="95"/>
      <c r="G213" s="95"/>
      <c r="H213" s="95"/>
      <c r="I213" s="95"/>
      <c r="J213" s="95"/>
      <c r="K213" s="95"/>
      <c r="L213" s="95"/>
      <c r="M213" s="95"/>
      <c r="N213" s="95"/>
      <c r="O213" s="95"/>
      <c r="P213" s="95"/>
      <c r="Q213" s="95"/>
      <c r="R213" s="95"/>
      <c r="S213" s="95"/>
      <c r="T213" s="95"/>
      <c r="U213" s="95"/>
    </row>
    <row r="214" spans="1:21" x14ac:dyDescent="0.25">
      <c r="A214" s="95"/>
      <c r="B214" s="95"/>
      <c r="C214" s="95"/>
      <c r="D214" s="95"/>
      <c r="E214" s="95"/>
      <c r="F214" s="95"/>
      <c r="G214" s="95"/>
      <c r="H214" s="95"/>
      <c r="I214" s="95"/>
      <c r="J214" s="95"/>
      <c r="K214" s="95"/>
      <c r="L214" s="95"/>
      <c r="M214" s="95"/>
      <c r="N214" s="95"/>
      <c r="O214" s="95"/>
      <c r="P214" s="95"/>
      <c r="Q214" s="95"/>
      <c r="R214" s="95"/>
      <c r="S214" s="95"/>
      <c r="T214" s="95"/>
      <c r="U214" s="95"/>
    </row>
    <row r="215" spans="1:21" x14ac:dyDescent="0.25">
      <c r="A215" s="95"/>
      <c r="B215" s="95"/>
      <c r="C215" s="95"/>
      <c r="D215" s="95"/>
      <c r="E215" s="95"/>
      <c r="F215" s="95"/>
      <c r="G215" s="95"/>
      <c r="H215" s="95"/>
      <c r="I215" s="95"/>
      <c r="J215" s="95"/>
      <c r="K215" s="95"/>
      <c r="L215" s="95"/>
      <c r="M215" s="95"/>
      <c r="N215" s="95"/>
      <c r="O215" s="95"/>
      <c r="P215" s="95"/>
      <c r="Q215" s="95"/>
      <c r="R215" s="95"/>
      <c r="S215" s="95"/>
      <c r="T215" s="95"/>
      <c r="U215" s="95"/>
    </row>
    <row r="216" spans="1:21" x14ac:dyDescent="0.25">
      <c r="A216" s="95"/>
      <c r="B216" s="95"/>
      <c r="C216" s="95"/>
      <c r="D216" s="95"/>
      <c r="E216" s="95"/>
      <c r="F216" s="95"/>
      <c r="G216" s="95"/>
      <c r="H216" s="95"/>
      <c r="I216" s="95"/>
      <c r="J216" s="95"/>
      <c r="K216" s="95"/>
      <c r="L216" s="95"/>
      <c r="M216" s="95"/>
      <c r="N216" s="95"/>
      <c r="O216" s="95"/>
      <c r="P216" s="95"/>
      <c r="Q216" s="95"/>
      <c r="R216" s="95"/>
      <c r="S216" s="95"/>
      <c r="T216" s="95"/>
      <c r="U216" s="95"/>
    </row>
    <row r="217" spans="1:21" x14ac:dyDescent="0.25">
      <c r="A217" s="95"/>
      <c r="B217" s="95"/>
      <c r="C217" s="95"/>
      <c r="D217" s="95"/>
      <c r="E217" s="95"/>
      <c r="F217" s="95"/>
      <c r="G217" s="95"/>
      <c r="H217" s="95"/>
      <c r="I217" s="95"/>
      <c r="J217" s="95"/>
      <c r="K217" s="95"/>
      <c r="L217" s="95"/>
      <c r="M217" s="95"/>
      <c r="N217" s="95"/>
      <c r="O217" s="95"/>
      <c r="P217" s="95"/>
      <c r="Q217" s="95"/>
      <c r="R217" s="95"/>
      <c r="S217" s="95"/>
      <c r="T217" s="95"/>
      <c r="U217" s="95"/>
    </row>
    <row r="218" spans="1:21" x14ac:dyDescent="0.25">
      <c r="A218" s="95"/>
      <c r="B218" s="95"/>
      <c r="C218" s="95"/>
      <c r="D218" s="95"/>
      <c r="E218" s="95"/>
      <c r="F218" s="95"/>
      <c r="G218" s="95"/>
      <c r="H218" s="95"/>
      <c r="I218" s="95"/>
      <c r="J218" s="95"/>
      <c r="K218" s="95"/>
      <c r="L218" s="95"/>
      <c r="M218" s="95"/>
      <c r="N218" s="95"/>
      <c r="O218" s="95"/>
      <c r="P218" s="95"/>
      <c r="Q218" s="95"/>
      <c r="R218" s="95"/>
      <c r="S218" s="95"/>
      <c r="T218" s="95"/>
      <c r="U218" s="95"/>
    </row>
    <row r="219" spans="1:21" x14ac:dyDescent="0.25">
      <c r="A219" s="95"/>
      <c r="B219" s="95"/>
      <c r="C219" s="95"/>
      <c r="D219" s="95"/>
      <c r="E219" s="95"/>
      <c r="F219" s="95"/>
      <c r="G219" s="95"/>
      <c r="H219" s="95"/>
      <c r="I219" s="95"/>
      <c r="J219" s="95"/>
      <c r="K219" s="95"/>
      <c r="L219" s="95"/>
      <c r="M219" s="95"/>
      <c r="N219" s="95"/>
      <c r="O219" s="95"/>
      <c r="P219" s="95"/>
      <c r="Q219" s="95"/>
      <c r="R219" s="95"/>
      <c r="S219" s="95"/>
      <c r="T219" s="95"/>
      <c r="U219" s="95"/>
    </row>
    <row r="220" spans="1:21" x14ac:dyDescent="0.25">
      <c r="A220" s="95"/>
      <c r="B220" s="95"/>
      <c r="C220" s="95"/>
      <c r="D220" s="95"/>
      <c r="E220" s="95"/>
      <c r="F220" s="95"/>
      <c r="G220" s="95"/>
      <c r="H220" s="95"/>
      <c r="I220" s="95"/>
      <c r="J220" s="95"/>
      <c r="K220" s="95"/>
      <c r="L220" s="95"/>
      <c r="M220" s="95"/>
      <c r="N220" s="95"/>
      <c r="O220" s="95"/>
      <c r="P220" s="95"/>
      <c r="Q220" s="95"/>
      <c r="R220" s="95"/>
      <c r="S220" s="95"/>
      <c r="T220" s="95"/>
      <c r="U220" s="95"/>
    </row>
    <row r="221" spans="1:21" x14ac:dyDescent="0.25">
      <c r="A221" s="95"/>
      <c r="B221" s="95"/>
      <c r="C221" s="95"/>
      <c r="D221" s="95"/>
      <c r="E221" s="95"/>
      <c r="F221" s="95"/>
      <c r="G221" s="95"/>
      <c r="H221" s="95"/>
      <c r="I221" s="95"/>
      <c r="J221" s="95"/>
      <c r="K221" s="95"/>
      <c r="L221" s="95"/>
      <c r="M221" s="95"/>
      <c r="N221" s="95"/>
      <c r="O221" s="95"/>
      <c r="P221" s="95"/>
      <c r="Q221" s="95"/>
      <c r="R221" s="95"/>
      <c r="S221" s="95"/>
      <c r="T221" s="95"/>
      <c r="U221" s="95"/>
    </row>
    <row r="222" spans="1:21" x14ac:dyDescent="0.25">
      <c r="A222" s="95"/>
      <c r="B222" s="95"/>
      <c r="C222" s="95"/>
      <c r="D222" s="95"/>
      <c r="E222" s="95"/>
      <c r="F222" s="95"/>
      <c r="G222" s="95"/>
      <c r="H222" s="95"/>
      <c r="I222" s="95"/>
      <c r="J222" s="95"/>
      <c r="K222" s="95"/>
      <c r="L222" s="95"/>
      <c r="M222" s="95"/>
      <c r="N222" s="95"/>
      <c r="O222" s="95"/>
      <c r="P222" s="95"/>
      <c r="Q222" s="95"/>
      <c r="R222" s="95"/>
      <c r="S222" s="95"/>
      <c r="T222" s="95"/>
      <c r="U222" s="95"/>
    </row>
    <row r="223" spans="1:21" x14ac:dyDescent="0.25">
      <c r="A223" s="95"/>
      <c r="B223" s="95"/>
      <c r="C223" s="95"/>
      <c r="D223" s="95"/>
      <c r="E223" s="95"/>
      <c r="F223" s="95"/>
      <c r="G223" s="95"/>
      <c r="H223" s="95"/>
      <c r="I223" s="95"/>
      <c r="J223" s="95"/>
      <c r="K223" s="95"/>
      <c r="L223" s="95"/>
      <c r="M223" s="95"/>
      <c r="N223" s="95"/>
      <c r="O223" s="95"/>
      <c r="P223" s="95"/>
      <c r="Q223" s="95"/>
      <c r="R223" s="95"/>
      <c r="S223" s="95"/>
      <c r="T223" s="95"/>
      <c r="U223" s="95"/>
    </row>
    <row r="224" spans="1:21" x14ac:dyDescent="0.25">
      <c r="A224" s="95"/>
      <c r="B224" s="95"/>
      <c r="C224" s="95"/>
      <c r="D224" s="95"/>
      <c r="E224" s="95"/>
      <c r="F224" s="95"/>
      <c r="G224" s="95"/>
      <c r="H224" s="95"/>
      <c r="I224" s="95"/>
      <c r="J224" s="95"/>
      <c r="K224" s="95"/>
      <c r="L224" s="95"/>
      <c r="M224" s="95"/>
      <c r="N224" s="95"/>
      <c r="O224" s="95"/>
      <c r="P224" s="95"/>
      <c r="Q224" s="95"/>
      <c r="R224" s="95"/>
      <c r="S224" s="95"/>
      <c r="T224" s="95"/>
      <c r="U224" s="95"/>
    </row>
    <row r="225" spans="1:21" x14ac:dyDescent="0.25">
      <c r="A225" s="95"/>
      <c r="B225" s="95"/>
      <c r="C225" s="95"/>
      <c r="D225" s="95"/>
      <c r="E225" s="95"/>
      <c r="F225" s="95"/>
      <c r="G225" s="95"/>
      <c r="H225" s="95"/>
      <c r="I225" s="95"/>
      <c r="J225" s="95"/>
      <c r="K225" s="95"/>
      <c r="L225" s="95"/>
      <c r="M225" s="95"/>
      <c r="N225" s="95"/>
      <c r="O225" s="95"/>
      <c r="P225" s="95"/>
      <c r="Q225" s="95"/>
      <c r="R225" s="95"/>
      <c r="S225" s="95"/>
      <c r="T225" s="95"/>
      <c r="U225" s="95"/>
    </row>
    <row r="226" spans="1:21" x14ac:dyDescent="0.25">
      <c r="A226" s="95"/>
      <c r="B226" s="95"/>
      <c r="C226" s="95"/>
      <c r="D226" s="95"/>
      <c r="E226" s="95"/>
      <c r="F226" s="95"/>
      <c r="G226" s="95"/>
      <c r="H226" s="95"/>
      <c r="I226" s="95"/>
      <c r="J226" s="95"/>
      <c r="K226" s="95"/>
      <c r="L226" s="95"/>
      <c r="M226" s="95"/>
      <c r="N226" s="95"/>
      <c r="O226" s="95"/>
      <c r="P226" s="95"/>
      <c r="Q226" s="95"/>
      <c r="R226" s="95"/>
      <c r="S226" s="95"/>
      <c r="T226" s="95"/>
      <c r="U226" s="95"/>
    </row>
    <row r="227" spans="1:21" x14ac:dyDescent="0.25">
      <c r="A227" s="95"/>
      <c r="B227" s="95"/>
      <c r="C227" s="95"/>
      <c r="D227" s="95"/>
      <c r="E227" s="95"/>
      <c r="F227" s="95"/>
      <c r="G227" s="95"/>
      <c r="H227" s="95"/>
      <c r="I227" s="95"/>
      <c r="J227" s="95"/>
      <c r="K227" s="95"/>
      <c r="L227" s="95"/>
      <c r="M227" s="95"/>
      <c r="N227" s="95"/>
      <c r="O227" s="95"/>
      <c r="P227" s="95"/>
      <c r="Q227" s="95"/>
      <c r="R227" s="95"/>
      <c r="S227" s="95"/>
      <c r="T227" s="95"/>
      <c r="U227" s="95"/>
    </row>
    <row r="228" spans="1:21" x14ac:dyDescent="0.25">
      <c r="A228" s="95"/>
      <c r="B228" s="95"/>
      <c r="C228" s="95"/>
      <c r="D228" s="95"/>
      <c r="E228" s="95"/>
      <c r="F228" s="95"/>
      <c r="G228" s="95"/>
      <c r="H228" s="95"/>
      <c r="I228" s="95"/>
      <c r="J228" s="95"/>
      <c r="K228" s="95"/>
      <c r="L228" s="95"/>
      <c r="M228" s="95"/>
      <c r="N228" s="95"/>
      <c r="O228" s="95"/>
      <c r="P228" s="95"/>
      <c r="Q228" s="95"/>
      <c r="R228" s="95"/>
      <c r="S228" s="95"/>
      <c r="T228" s="95"/>
      <c r="U228" s="95"/>
    </row>
    <row r="229" spans="1:21" x14ac:dyDescent="0.25">
      <c r="A229" s="95"/>
      <c r="B229" s="95"/>
      <c r="C229" s="95"/>
      <c r="D229" s="95"/>
      <c r="E229" s="95"/>
      <c r="F229" s="95"/>
      <c r="G229" s="95"/>
      <c r="H229" s="95"/>
      <c r="I229" s="95"/>
      <c r="J229" s="95"/>
      <c r="K229" s="95"/>
      <c r="L229" s="95"/>
      <c r="M229" s="95"/>
      <c r="N229" s="95"/>
      <c r="O229" s="95"/>
      <c r="P229" s="95"/>
      <c r="Q229" s="95"/>
      <c r="R229" s="95"/>
      <c r="S229" s="95"/>
      <c r="T229" s="95"/>
      <c r="U229" s="95"/>
    </row>
    <row r="230" spans="1:21" x14ac:dyDescent="0.25">
      <c r="A230" s="95"/>
      <c r="B230" s="95"/>
      <c r="C230" s="95"/>
      <c r="D230" s="95"/>
      <c r="E230" s="95"/>
      <c r="F230" s="95"/>
      <c r="G230" s="95"/>
      <c r="H230" s="95"/>
      <c r="I230" s="95"/>
      <c r="J230" s="95"/>
      <c r="K230" s="95"/>
      <c r="L230" s="95"/>
      <c r="M230" s="95"/>
      <c r="N230" s="95"/>
      <c r="O230" s="95"/>
      <c r="P230" s="95"/>
      <c r="Q230" s="95"/>
      <c r="R230" s="95"/>
      <c r="S230" s="95"/>
      <c r="T230" s="95"/>
      <c r="U230" s="95"/>
    </row>
    <row r="231" spans="1:21" x14ac:dyDescent="0.25">
      <c r="A231" s="95"/>
      <c r="B231" s="95"/>
      <c r="C231" s="95"/>
      <c r="D231" s="95"/>
      <c r="E231" s="95"/>
      <c r="F231" s="95"/>
      <c r="G231" s="95"/>
      <c r="H231" s="95"/>
      <c r="I231" s="95"/>
      <c r="J231" s="95"/>
      <c r="K231" s="95"/>
      <c r="L231" s="95"/>
      <c r="M231" s="95"/>
      <c r="N231" s="95"/>
      <c r="O231" s="95"/>
      <c r="P231" s="95"/>
      <c r="Q231" s="95"/>
      <c r="R231" s="95"/>
      <c r="S231" s="95"/>
      <c r="T231" s="95"/>
      <c r="U231" s="95"/>
    </row>
    <row r="232" spans="1:21" x14ac:dyDescent="0.25">
      <c r="A232" s="95"/>
      <c r="B232" s="95"/>
      <c r="C232" s="95"/>
      <c r="D232" s="95"/>
      <c r="E232" s="95"/>
      <c r="F232" s="95"/>
      <c r="G232" s="95"/>
      <c r="H232" s="95"/>
      <c r="I232" s="95"/>
      <c r="J232" s="95"/>
      <c r="K232" s="95"/>
      <c r="L232" s="95"/>
      <c r="M232" s="95"/>
      <c r="N232" s="95"/>
      <c r="O232" s="95"/>
      <c r="P232" s="95"/>
      <c r="Q232" s="95"/>
      <c r="R232" s="95"/>
      <c r="S232" s="95"/>
      <c r="T232" s="95"/>
      <c r="U232" s="95"/>
    </row>
    <row r="233" spans="1:21" x14ac:dyDescent="0.25">
      <c r="A233" s="95"/>
      <c r="B233" s="95"/>
      <c r="C233" s="95"/>
      <c r="D233" s="95"/>
      <c r="E233" s="95"/>
      <c r="F233" s="95"/>
      <c r="G233" s="95"/>
      <c r="H233" s="95"/>
      <c r="I233" s="95"/>
      <c r="J233" s="95"/>
      <c r="K233" s="95"/>
      <c r="L233" s="95"/>
      <c r="M233" s="95"/>
      <c r="N233" s="95"/>
      <c r="O233" s="95"/>
      <c r="P233" s="95"/>
      <c r="Q233" s="95"/>
      <c r="R233" s="95"/>
      <c r="S233" s="95"/>
      <c r="T233" s="95"/>
      <c r="U233" s="95"/>
    </row>
    <row r="234" spans="1:21" x14ac:dyDescent="0.25">
      <c r="A234" s="95"/>
      <c r="B234" s="95"/>
      <c r="C234" s="95"/>
      <c r="D234" s="95"/>
      <c r="E234" s="95"/>
      <c r="F234" s="95"/>
      <c r="G234" s="95"/>
      <c r="H234" s="95"/>
      <c r="I234" s="95"/>
      <c r="J234" s="95"/>
      <c r="K234" s="95"/>
      <c r="L234" s="95"/>
      <c r="M234" s="95"/>
      <c r="N234" s="95"/>
      <c r="O234" s="95"/>
      <c r="P234" s="95"/>
      <c r="Q234" s="95"/>
      <c r="R234" s="95"/>
      <c r="S234" s="95"/>
      <c r="T234" s="95"/>
      <c r="U234" s="95"/>
    </row>
    <row r="235" spans="1:21" x14ac:dyDescent="0.25">
      <c r="A235" s="95"/>
      <c r="B235" s="95"/>
      <c r="C235" s="95"/>
      <c r="D235" s="95"/>
      <c r="E235" s="95"/>
      <c r="F235" s="95"/>
      <c r="G235" s="95"/>
      <c r="H235" s="95"/>
      <c r="I235" s="95"/>
      <c r="J235" s="95"/>
      <c r="K235" s="95"/>
      <c r="L235" s="95"/>
      <c r="M235" s="95"/>
      <c r="N235" s="95"/>
      <c r="O235" s="95"/>
      <c r="P235" s="95"/>
      <c r="Q235" s="95"/>
      <c r="R235" s="95"/>
      <c r="S235" s="95"/>
      <c r="T235" s="95"/>
      <c r="U235" s="95"/>
    </row>
    <row r="236" spans="1:21" x14ac:dyDescent="0.25">
      <c r="A236" s="95"/>
      <c r="B236" s="95"/>
      <c r="C236" s="95"/>
      <c r="D236" s="95"/>
      <c r="E236" s="95"/>
      <c r="F236" s="95"/>
      <c r="G236" s="95"/>
      <c r="H236" s="95"/>
      <c r="I236" s="95"/>
      <c r="J236" s="95"/>
      <c r="K236" s="95"/>
      <c r="L236" s="95"/>
      <c r="M236" s="95"/>
      <c r="N236" s="95"/>
      <c r="O236" s="95"/>
      <c r="P236" s="95"/>
      <c r="Q236" s="95"/>
      <c r="R236" s="95"/>
      <c r="S236" s="95"/>
      <c r="T236" s="95"/>
      <c r="U236" s="95"/>
    </row>
    <row r="237" spans="1:21" x14ac:dyDescent="0.25">
      <c r="A237" s="95"/>
      <c r="B237" s="95"/>
      <c r="C237" s="95"/>
      <c r="D237" s="95"/>
      <c r="E237" s="95"/>
      <c r="F237" s="95"/>
      <c r="G237" s="95"/>
      <c r="H237" s="95"/>
      <c r="I237" s="95"/>
      <c r="J237" s="95"/>
      <c r="K237" s="95"/>
      <c r="L237" s="95"/>
      <c r="M237" s="95"/>
      <c r="N237" s="95"/>
      <c r="O237" s="95"/>
      <c r="P237" s="95"/>
      <c r="Q237" s="95"/>
      <c r="R237" s="95"/>
      <c r="S237" s="95"/>
      <c r="T237" s="95"/>
      <c r="U237" s="95"/>
    </row>
    <row r="238" spans="1:21" x14ac:dyDescent="0.25">
      <c r="A238" s="95"/>
      <c r="B238" s="95"/>
      <c r="C238" s="95"/>
      <c r="D238" s="95"/>
      <c r="E238" s="95"/>
      <c r="F238" s="95"/>
      <c r="G238" s="95"/>
      <c r="H238" s="95"/>
      <c r="I238" s="95"/>
      <c r="J238" s="95"/>
      <c r="K238" s="95"/>
      <c r="L238" s="95"/>
      <c r="M238" s="95"/>
      <c r="N238" s="95"/>
      <c r="O238" s="95"/>
      <c r="P238" s="95"/>
      <c r="Q238" s="95"/>
      <c r="R238" s="95"/>
      <c r="S238" s="95"/>
      <c r="T238" s="95"/>
      <c r="U238" s="95"/>
    </row>
    <row r="239" spans="1:21" x14ac:dyDescent="0.25">
      <c r="A239" s="95"/>
      <c r="B239" s="95"/>
      <c r="C239" s="95"/>
      <c r="D239" s="95"/>
      <c r="E239" s="95"/>
      <c r="F239" s="95"/>
      <c r="G239" s="95"/>
      <c r="H239" s="95"/>
      <c r="I239" s="95"/>
      <c r="J239" s="95"/>
      <c r="K239" s="95"/>
      <c r="L239" s="95"/>
      <c r="M239" s="95"/>
      <c r="N239" s="95"/>
      <c r="O239" s="95"/>
      <c r="P239" s="95"/>
      <c r="Q239" s="95"/>
      <c r="R239" s="95"/>
      <c r="S239" s="95"/>
      <c r="T239" s="95"/>
      <c r="U239" s="95"/>
    </row>
    <row r="240" spans="1:21" x14ac:dyDescent="0.25">
      <c r="A240" s="95"/>
      <c r="B240" s="95"/>
      <c r="C240" s="95"/>
      <c r="D240" s="95"/>
      <c r="E240" s="95"/>
      <c r="F240" s="95"/>
      <c r="G240" s="95"/>
      <c r="H240" s="95"/>
      <c r="I240" s="95"/>
      <c r="J240" s="95"/>
      <c r="K240" s="95"/>
      <c r="L240" s="95"/>
      <c r="M240" s="95"/>
      <c r="N240" s="95"/>
      <c r="O240" s="95"/>
      <c r="P240" s="95"/>
      <c r="Q240" s="95"/>
      <c r="R240" s="95"/>
      <c r="S240" s="95"/>
      <c r="T240" s="95"/>
      <c r="U240" s="95"/>
    </row>
    <row r="241" spans="1:21" x14ac:dyDescent="0.25">
      <c r="A241" s="95"/>
      <c r="B241" s="95"/>
      <c r="C241" s="95"/>
      <c r="D241" s="95"/>
      <c r="E241" s="95"/>
      <c r="F241" s="95"/>
      <c r="G241" s="95"/>
      <c r="H241" s="95"/>
      <c r="I241" s="95"/>
      <c r="J241" s="95"/>
      <c r="K241" s="95"/>
      <c r="L241" s="95"/>
      <c r="M241" s="95"/>
      <c r="N241" s="95"/>
      <c r="O241" s="95"/>
      <c r="P241" s="95"/>
      <c r="Q241" s="95"/>
      <c r="R241" s="95"/>
      <c r="S241" s="95"/>
      <c r="T241" s="95"/>
      <c r="U241" s="95"/>
    </row>
    <row r="242" spans="1:21" x14ac:dyDescent="0.25">
      <c r="A242" s="95"/>
      <c r="B242" s="95"/>
      <c r="C242" s="95"/>
      <c r="D242" s="95"/>
      <c r="E242" s="95"/>
      <c r="F242" s="95"/>
      <c r="G242" s="95"/>
      <c r="H242" s="95"/>
      <c r="I242" s="95"/>
      <c r="J242" s="95"/>
      <c r="K242" s="95"/>
      <c r="L242" s="95"/>
      <c r="M242" s="95"/>
      <c r="N242" s="95"/>
      <c r="O242" s="95"/>
      <c r="P242" s="95"/>
      <c r="Q242" s="95"/>
      <c r="R242" s="95"/>
      <c r="S242" s="95"/>
      <c r="T242" s="95"/>
      <c r="U242" s="95"/>
    </row>
    <row r="243" spans="1:21" x14ac:dyDescent="0.25">
      <c r="A243" s="95"/>
      <c r="B243" s="95"/>
      <c r="C243" s="95"/>
      <c r="D243" s="95"/>
      <c r="E243" s="95"/>
      <c r="F243" s="95"/>
      <c r="G243" s="95"/>
      <c r="H243" s="95"/>
      <c r="I243" s="95"/>
      <c r="J243" s="95"/>
      <c r="K243" s="95"/>
      <c r="L243" s="95"/>
      <c r="M243" s="95"/>
      <c r="N243" s="95"/>
      <c r="O243" s="95"/>
      <c r="P243" s="95"/>
      <c r="Q243" s="95"/>
      <c r="R243" s="95"/>
      <c r="S243" s="95"/>
      <c r="T243" s="95"/>
      <c r="U243" s="95"/>
    </row>
    <row r="244" spans="1:21" x14ac:dyDescent="0.25">
      <c r="A244" s="95"/>
      <c r="B244" s="95"/>
      <c r="C244" s="95"/>
      <c r="D244" s="95"/>
      <c r="E244" s="95"/>
      <c r="F244" s="95"/>
      <c r="G244" s="95"/>
      <c r="H244" s="95"/>
      <c r="I244" s="95"/>
      <c r="J244" s="95"/>
      <c r="K244" s="95"/>
      <c r="L244" s="95"/>
      <c r="M244" s="95"/>
      <c r="N244" s="95"/>
      <c r="O244" s="95"/>
      <c r="P244" s="95"/>
      <c r="Q244" s="95"/>
      <c r="R244" s="95"/>
      <c r="S244" s="95"/>
      <c r="T244" s="95"/>
      <c r="U244" s="95"/>
    </row>
    <row r="245" spans="1:21" x14ac:dyDescent="0.25">
      <c r="A245" s="95"/>
      <c r="B245" s="95"/>
      <c r="C245" s="95"/>
      <c r="D245" s="95"/>
      <c r="E245" s="95"/>
      <c r="F245" s="95"/>
      <c r="G245" s="95"/>
      <c r="H245" s="95"/>
      <c r="I245" s="95"/>
      <c r="J245" s="95"/>
      <c r="K245" s="95"/>
      <c r="L245" s="95"/>
      <c r="M245" s="95"/>
      <c r="N245" s="95"/>
      <c r="O245" s="95"/>
      <c r="P245" s="95"/>
      <c r="Q245" s="95"/>
      <c r="R245" s="95"/>
      <c r="S245" s="95"/>
      <c r="T245" s="95"/>
      <c r="U245" s="95"/>
    </row>
    <row r="246" spans="1:21" x14ac:dyDescent="0.25">
      <c r="A246" s="95"/>
      <c r="B246" s="95"/>
      <c r="C246" s="95"/>
      <c r="D246" s="95"/>
      <c r="E246" s="95"/>
      <c r="F246" s="95"/>
      <c r="G246" s="95"/>
      <c r="H246" s="95"/>
      <c r="I246" s="95"/>
      <c r="J246" s="95"/>
      <c r="K246" s="95"/>
      <c r="L246" s="95"/>
      <c r="M246" s="95"/>
      <c r="N246" s="95"/>
      <c r="O246" s="95"/>
      <c r="P246" s="95"/>
      <c r="Q246" s="95"/>
      <c r="R246" s="95"/>
      <c r="S246" s="95"/>
      <c r="T246" s="95"/>
      <c r="U246" s="95"/>
    </row>
    <row r="247" spans="1:21" x14ac:dyDescent="0.25">
      <c r="A247" s="95"/>
      <c r="B247" s="95"/>
      <c r="C247" s="95"/>
      <c r="D247" s="95"/>
      <c r="E247" s="95"/>
      <c r="F247" s="95"/>
      <c r="G247" s="95"/>
      <c r="H247" s="95"/>
      <c r="I247" s="95"/>
      <c r="J247" s="95"/>
      <c r="K247" s="95"/>
      <c r="L247" s="95"/>
      <c r="M247" s="95"/>
      <c r="N247" s="95"/>
      <c r="O247" s="95"/>
      <c r="P247" s="95"/>
      <c r="Q247" s="95"/>
      <c r="R247" s="95"/>
      <c r="S247" s="95"/>
      <c r="T247" s="95"/>
      <c r="U247" s="95"/>
    </row>
    <row r="248" spans="1:21" x14ac:dyDescent="0.25">
      <c r="A248" s="95"/>
      <c r="B248" s="95"/>
      <c r="C248" s="95"/>
      <c r="D248" s="95"/>
      <c r="E248" s="95"/>
      <c r="F248" s="95"/>
      <c r="G248" s="95"/>
      <c r="H248" s="95"/>
      <c r="I248" s="95"/>
      <c r="J248" s="95"/>
      <c r="K248" s="95"/>
      <c r="L248" s="95"/>
      <c r="M248" s="95"/>
      <c r="N248" s="95"/>
      <c r="O248" s="95"/>
      <c r="P248" s="95"/>
      <c r="Q248" s="95"/>
      <c r="R248" s="95"/>
      <c r="S248" s="95"/>
      <c r="T248" s="95"/>
      <c r="U248" s="95"/>
    </row>
    <row r="249" spans="1:21" x14ac:dyDescent="0.25">
      <c r="A249" s="95"/>
      <c r="B249" s="95"/>
      <c r="C249" s="95"/>
      <c r="D249" s="95"/>
      <c r="E249" s="95"/>
      <c r="F249" s="95"/>
      <c r="G249" s="95"/>
      <c r="H249" s="95"/>
      <c r="I249" s="95"/>
      <c r="J249" s="95"/>
      <c r="K249" s="95"/>
      <c r="L249" s="95"/>
      <c r="M249" s="95"/>
      <c r="N249" s="95"/>
      <c r="O249" s="95"/>
      <c r="P249" s="95"/>
      <c r="Q249" s="95"/>
      <c r="R249" s="95"/>
      <c r="S249" s="95"/>
      <c r="T249" s="95"/>
      <c r="U249" s="95"/>
    </row>
    <row r="250" spans="1:21" x14ac:dyDescent="0.25">
      <c r="A250" s="95"/>
      <c r="B250" s="95"/>
      <c r="C250" s="95"/>
      <c r="D250" s="95"/>
      <c r="E250" s="95"/>
      <c r="F250" s="95"/>
      <c r="G250" s="95"/>
      <c r="H250" s="95"/>
      <c r="I250" s="95"/>
      <c r="J250" s="95"/>
      <c r="K250" s="95"/>
      <c r="L250" s="95"/>
      <c r="M250" s="95"/>
      <c r="N250" s="95"/>
      <c r="O250" s="95"/>
      <c r="P250" s="95"/>
      <c r="Q250" s="95"/>
      <c r="R250" s="95"/>
      <c r="S250" s="95"/>
      <c r="T250" s="95"/>
      <c r="U250" s="95"/>
    </row>
    <row r="251" spans="1:21" x14ac:dyDescent="0.25">
      <c r="A251" s="95"/>
      <c r="B251" s="95"/>
      <c r="C251" s="95"/>
      <c r="D251" s="95"/>
      <c r="E251" s="95"/>
      <c r="F251" s="95"/>
      <c r="G251" s="95"/>
      <c r="H251" s="95"/>
      <c r="I251" s="95"/>
      <c r="J251" s="95"/>
      <c r="K251" s="95"/>
      <c r="L251" s="95"/>
      <c r="M251" s="95"/>
      <c r="N251" s="95"/>
      <c r="O251" s="95"/>
      <c r="P251" s="95"/>
      <c r="Q251" s="95"/>
      <c r="R251" s="95"/>
      <c r="S251" s="95"/>
      <c r="T251" s="95"/>
      <c r="U251" s="95"/>
    </row>
    <row r="252" spans="1:21" x14ac:dyDescent="0.25">
      <c r="A252" s="95"/>
      <c r="B252" s="95"/>
      <c r="C252" s="95"/>
      <c r="D252" s="95"/>
      <c r="E252" s="95"/>
      <c r="F252" s="95"/>
      <c r="G252" s="95"/>
      <c r="H252" s="95"/>
      <c r="I252" s="95"/>
      <c r="J252" s="95"/>
      <c r="K252" s="95"/>
      <c r="L252" s="95"/>
      <c r="M252" s="95"/>
      <c r="N252" s="95"/>
      <c r="O252" s="95"/>
      <c r="P252" s="95"/>
      <c r="Q252" s="95"/>
      <c r="R252" s="95"/>
      <c r="S252" s="95"/>
      <c r="T252" s="95"/>
      <c r="U252" s="95"/>
    </row>
    <row r="253" spans="1:21" x14ac:dyDescent="0.25">
      <c r="A253" s="95"/>
      <c r="B253" s="95"/>
      <c r="C253" s="95"/>
      <c r="D253" s="95"/>
      <c r="E253" s="95"/>
      <c r="F253" s="95"/>
      <c r="G253" s="95"/>
      <c r="H253" s="95"/>
      <c r="I253" s="95"/>
      <c r="J253" s="95"/>
      <c r="K253" s="95"/>
      <c r="L253" s="95"/>
      <c r="M253" s="95"/>
      <c r="N253" s="95"/>
      <c r="O253" s="95"/>
      <c r="P253" s="95"/>
      <c r="Q253" s="95"/>
      <c r="R253" s="95"/>
      <c r="S253" s="95"/>
      <c r="T253" s="95"/>
      <c r="U253" s="95"/>
    </row>
    <row r="254" spans="1:21" x14ac:dyDescent="0.25">
      <c r="A254" s="95"/>
      <c r="B254" s="95"/>
      <c r="C254" s="95"/>
      <c r="D254" s="95"/>
      <c r="E254" s="95"/>
      <c r="F254" s="95"/>
      <c r="G254" s="95"/>
      <c r="H254" s="95"/>
      <c r="I254" s="95"/>
      <c r="J254" s="95"/>
      <c r="K254" s="95"/>
      <c r="L254" s="95"/>
      <c r="M254" s="95"/>
      <c r="N254" s="95"/>
      <c r="O254" s="95"/>
      <c r="P254" s="95"/>
      <c r="Q254" s="95"/>
      <c r="R254" s="95"/>
      <c r="S254" s="95"/>
      <c r="T254" s="95"/>
      <c r="U254" s="95"/>
    </row>
    <row r="255" spans="1:21" x14ac:dyDescent="0.25">
      <c r="A255" s="95"/>
      <c r="B255" s="95"/>
      <c r="C255" s="95"/>
      <c r="D255" s="95"/>
      <c r="E255" s="95"/>
      <c r="F255" s="95"/>
      <c r="G255" s="95"/>
      <c r="H255" s="95"/>
      <c r="I255" s="95"/>
      <c r="J255" s="95"/>
      <c r="K255" s="95"/>
      <c r="L255" s="95"/>
      <c r="M255" s="95"/>
      <c r="N255" s="95"/>
      <c r="O255" s="95"/>
      <c r="P255" s="95"/>
      <c r="Q255" s="95"/>
      <c r="R255" s="95"/>
      <c r="S255" s="95"/>
      <c r="T255" s="95"/>
      <c r="U255" s="95"/>
    </row>
    <row r="256" spans="1:21" x14ac:dyDescent="0.25">
      <c r="A256" s="95"/>
      <c r="B256" s="95"/>
      <c r="C256" s="95"/>
      <c r="D256" s="95"/>
      <c r="E256" s="95"/>
      <c r="F256" s="95"/>
      <c r="G256" s="95"/>
      <c r="H256" s="95"/>
      <c r="I256" s="95"/>
      <c r="J256" s="95"/>
      <c r="K256" s="95"/>
      <c r="L256" s="95"/>
      <c r="M256" s="95"/>
      <c r="N256" s="95"/>
      <c r="O256" s="95"/>
      <c r="P256" s="95"/>
      <c r="Q256" s="95"/>
      <c r="R256" s="95"/>
      <c r="S256" s="95"/>
      <c r="T256" s="95"/>
      <c r="U256" s="95"/>
    </row>
    <row r="257" spans="1:21" x14ac:dyDescent="0.25">
      <c r="A257" s="95"/>
      <c r="B257" s="95"/>
      <c r="C257" s="95"/>
      <c r="D257" s="95"/>
      <c r="E257" s="95"/>
      <c r="F257" s="95"/>
      <c r="G257" s="95"/>
      <c r="H257" s="95"/>
      <c r="I257" s="95"/>
      <c r="J257" s="95"/>
      <c r="K257" s="95"/>
      <c r="L257" s="95"/>
      <c r="M257" s="95"/>
      <c r="N257" s="95"/>
      <c r="O257" s="95"/>
      <c r="P257" s="95"/>
      <c r="Q257" s="95"/>
      <c r="R257" s="95"/>
      <c r="S257" s="95"/>
      <c r="T257" s="95"/>
      <c r="U257" s="95"/>
    </row>
    <row r="258" spans="1:21" x14ac:dyDescent="0.25">
      <c r="A258" s="95"/>
      <c r="B258" s="95"/>
      <c r="C258" s="95"/>
      <c r="D258" s="95"/>
      <c r="E258" s="95"/>
      <c r="F258" s="95"/>
      <c r="G258" s="95"/>
      <c r="H258" s="95"/>
      <c r="I258" s="95"/>
      <c r="J258" s="95"/>
      <c r="K258" s="95"/>
      <c r="L258" s="95"/>
      <c r="M258" s="95"/>
      <c r="N258" s="95"/>
      <c r="O258" s="95"/>
      <c r="P258" s="95"/>
      <c r="Q258" s="95"/>
      <c r="R258" s="95"/>
      <c r="S258" s="95"/>
      <c r="T258" s="95"/>
      <c r="U258" s="95"/>
    </row>
    <row r="259" spans="1:21" x14ac:dyDescent="0.25">
      <c r="A259" s="95"/>
      <c r="B259" s="95"/>
      <c r="C259" s="95"/>
      <c r="D259" s="95"/>
      <c r="E259" s="95"/>
      <c r="F259" s="95"/>
      <c r="G259" s="95"/>
      <c r="H259" s="95"/>
      <c r="I259" s="95"/>
      <c r="J259" s="95"/>
      <c r="K259" s="95"/>
      <c r="L259" s="95"/>
      <c r="M259" s="95"/>
      <c r="N259" s="95"/>
      <c r="O259" s="95"/>
      <c r="P259" s="95"/>
      <c r="Q259" s="95"/>
      <c r="R259" s="95"/>
      <c r="S259" s="95"/>
      <c r="T259" s="95"/>
      <c r="U259" s="95"/>
    </row>
    <row r="260" spans="1:21" x14ac:dyDescent="0.25">
      <c r="A260" s="95"/>
      <c r="B260" s="95"/>
      <c r="C260" s="95"/>
      <c r="D260" s="95"/>
      <c r="E260" s="95"/>
      <c r="F260" s="95"/>
      <c r="G260" s="95"/>
      <c r="H260" s="95"/>
      <c r="I260" s="95"/>
      <c r="J260" s="95"/>
      <c r="K260" s="95"/>
      <c r="L260" s="95"/>
      <c r="M260" s="95"/>
      <c r="N260" s="95"/>
      <c r="O260" s="95"/>
      <c r="P260" s="95"/>
      <c r="Q260" s="95"/>
      <c r="R260" s="95"/>
      <c r="S260" s="95"/>
      <c r="T260" s="95"/>
      <c r="U260" s="95"/>
    </row>
    <row r="261" spans="1:21" x14ac:dyDescent="0.25">
      <c r="A261" s="95"/>
      <c r="B261" s="95"/>
      <c r="C261" s="95"/>
      <c r="D261" s="95"/>
      <c r="E261" s="95"/>
      <c r="F261" s="95"/>
      <c r="G261" s="95"/>
      <c r="H261" s="95"/>
      <c r="I261" s="95"/>
      <c r="J261" s="95"/>
      <c r="K261" s="95"/>
      <c r="L261" s="95"/>
      <c r="M261" s="95"/>
      <c r="N261" s="95"/>
      <c r="O261" s="95"/>
      <c r="P261" s="95"/>
      <c r="Q261" s="95"/>
      <c r="R261" s="95"/>
      <c r="S261" s="95"/>
      <c r="T261" s="95"/>
      <c r="U261" s="95"/>
    </row>
    <row r="262" spans="1:21" x14ac:dyDescent="0.25">
      <c r="A262" s="95"/>
      <c r="B262" s="95"/>
      <c r="C262" s="95"/>
      <c r="D262" s="95"/>
      <c r="E262" s="95"/>
      <c r="F262" s="95"/>
      <c r="G262" s="95"/>
      <c r="H262" s="95"/>
      <c r="I262" s="95"/>
      <c r="J262" s="95"/>
      <c r="K262" s="95"/>
      <c r="L262" s="95"/>
      <c r="M262" s="95"/>
      <c r="N262" s="95"/>
      <c r="O262" s="95"/>
      <c r="P262" s="95"/>
      <c r="Q262" s="95"/>
      <c r="R262" s="95"/>
      <c r="S262" s="95"/>
      <c r="T262" s="95"/>
      <c r="U262" s="95"/>
    </row>
    <row r="263" spans="1:21" x14ac:dyDescent="0.25">
      <c r="A263" s="95"/>
      <c r="B263" s="95"/>
      <c r="C263" s="95"/>
      <c r="D263" s="95"/>
      <c r="E263" s="95"/>
      <c r="F263" s="95"/>
      <c r="G263" s="95"/>
      <c r="H263" s="95"/>
      <c r="I263" s="95"/>
      <c r="J263" s="95"/>
      <c r="K263" s="95"/>
      <c r="L263" s="95"/>
      <c r="M263" s="95"/>
      <c r="N263" s="95"/>
      <c r="O263" s="95"/>
      <c r="P263" s="95"/>
      <c r="Q263" s="95"/>
      <c r="R263" s="95"/>
      <c r="S263" s="95"/>
      <c r="T263" s="95"/>
      <c r="U263" s="95"/>
    </row>
    <row r="264" spans="1:21" x14ac:dyDescent="0.25">
      <c r="A264" s="95"/>
      <c r="B264" s="95"/>
      <c r="C264" s="95"/>
      <c r="D264" s="95"/>
      <c r="E264" s="95"/>
      <c r="F264" s="95"/>
      <c r="G264" s="95"/>
      <c r="H264" s="95"/>
      <c r="I264" s="95"/>
      <c r="J264" s="95"/>
      <c r="K264" s="95"/>
      <c r="L264" s="95"/>
      <c r="M264" s="95"/>
      <c r="N264" s="95"/>
      <c r="O264" s="95"/>
      <c r="P264" s="95"/>
      <c r="Q264" s="95"/>
      <c r="R264" s="95"/>
      <c r="S264" s="95"/>
      <c r="T264" s="95"/>
      <c r="U264" s="95"/>
    </row>
    <row r="265" spans="1:21" x14ac:dyDescent="0.25">
      <c r="A265" s="95"/>
      <c r="B265" s="95"/>
      <c r="C265" s="95"/>
      <c r="D265" s="95"/>
      <c r="E265" s="95"/>
      <c r="F265" s="95"/>
      <c r="G265" s="95"/>
      <c r="H265" s="95"/>
      <c r="I265" s="95"/>
      <c r="J265" s="95"/>
      <c r="K265" s="95"/>
      <c r="L265" s="95"/>
      <c r="M265" s="95"/>
      <c r="N265" s="95"/>
      <c r="O265" s="95"/>
      <c r="P265" s="95"/>
      <c r="Q265" s="95"/>
      <c r="R265" s="95"/>
      <c r="S265" s="95"/>
      <c r="T265" s="95"/>
      <c r="U265" s="95"/>
    </row>
    <row r="266" spans="1:21" x14ac:dyDescent="0.25">
      <c r="A266" s="95"/>
      <c r="B266" s="95"/>
      <c r="C266" s="95"/>
      <c r="D266" s="95"/>
      <c r="E266" s="95"/>
      <c r="F266" s="95"/>
      <c r="G266" s="95"/>
      <c r="H266" s="95"/>
      <c r="I266" s="95"/>
      <c r="J266" s="95"/>
      <c r="K266" s="95"/>
      <c r="L266" s="95"/>
      <c r="M266" s="95"/>
      <c r="N266" s="95"/>
      <c r="O266" s="95"/>
      <c r="P266" s="95"/>
      <c r="Q266" s="95"/>
      <c r="R266" s="95"/>
      <c r="S266" s="95"/>
      <c r="T266" s="95"/>
      <c r="U266" s="95"/>
    </row>
    <row r="267" spans="1:21" x14ac:dyDescent="0.25">
      <c r="A267" s="95"/>
      <c r="B267" s="95"/>
      <c r="C267" s="95"/>
      <c r="D267" s="95"/>
      <c r="E267" s="95"/>
      <c r="F267" s="95"/>
      <c r="G267" s="95"/>
      <c r="H267" s="95"/>
      <c r="I267" s="95"/>
      <c r="J267" s="95"/>
      <c r="K267" s="95"/>
      <c r="L267" s="95"/>
      <c r="M267" s="95"/>
      <c r="N267" s="95"/>
      <c r="O267" s="95"/>
      <c r="P267" s="95"/>
      <c r="Q267" s="95"/>
      <c r="R267" s="95"/>
      <c r="S267" s="95"/>
      <c r="T267" s="95"/>
      <c r="U267" s="95"/>
    </row>
    <row r="268" spans="1:21" x14ac:dyDescent="0.25">
      <c r="A268" s="95"/>
      <c r="B268" s="95"/>
      <c r="C268" s="95"/>
      <c r="D268" s="95"/>
      <c r="E268" s="95"/>
      <c r="F268" s="95"/>
      <c r="G268" s="95"/>
      <c r="H268" s="95"/>
      <c r="I268" s="95"/>
      <c r="J268" s="95"/>
      <c r="K268" s="95"/>
      <c r="L268" s="95"/>
      <c r="M268" s="95"/>
      <c r="N268" s="95"/>
      <c r="O268" s="95"/>
      <c r="P268" s="95"/>
      <c r="Q268" s="95"/>
      <c r="R268" s="95"/>
      <c r="S268" s="95"/>
      <c r="T268" s="95"/>
      <c r="U268" s="95"/>
    </row>
    <row r="269" spans="1:21" x14ac:dyDescent="0.25">
      <c r="A269" s="95"/>
      <c r="B269" s="95"/>
      <c r="C269" s="95"/>
      <c r="D269" s="95"/>
      <c r="E269" s="95"/>
      <c r="F269" s="95"/>
      <c r="G269" s="95"/>
      <c r="H269" s="95"/>
      <c r="I269" s="95"/>
      <c r="J269" s="95"/>
      <c r="K269" s="95"/>
      <c r="L269" s="95"/>
      <c r="M269" s="95"/>
      <c r="N269" s="95"/>
      <c r="O269" s="95"/>
      <c r="P269" s="95"/>
      <c r="Q269" s="95"/>
      <c r="R269" s="95"/>
      <c r="S269" s="95"/>
      <c r="T269" s="95"/>
      <c r="U269" s="95"/>
    </row>
    <row r="270" spans="1:21" x14ac:dyDescent="0.25">
      <c r="A270" s="95"/>
      <c r="B270" s="95"/>
      <c r="C270" s="95"/>
      <c r="D270" s="95"/>
      <c r="E270" s="95"/>
      <c r="F270" s="95"/>
      <c r="G270" s="95"/>
      <c r="H270" s="95"/>
      <c r="I270" s="95"/>
      <c r="J270" s="95"/>
      <c r="K270" s="95"/>
      <c r="L270" s="95"/>
      <c r="M270" s="95"/>
      <c r="N270" s="95"/>
      <c r="O270" s="95"/>
      <c r="P270" s="95"/>
      <c r="Q270" s="95"/>
      <c r="R270" s="95"/>
      <c r="S270" s="95"/>
      <c r="T270" s="95"/>
      <c r="U270" s="95"/>
    </row>
    <row r="271" spans="1:21" x14ac:dyDescent="0.25">
      <c r="A271" s="95"/>
      <c r="B271" s="95"/>
      <c r="C271" s="95"/>
      <c r="D271" s="95"/>
      <c r="E271" s="95"/>
      <c r="F271" s="95"/>
      <c r="G271" s="95"/>
      <c r="H271" s="95"/>
      <c r="I271" s="95"/>
      <c r="J271" s="95"/>
      <c r="K271" s="95"/>
      <c r="L271" s="95"/>
      <c r="M271" s="95"/>
      <c r="N271" s="95"/>
      <c r="O271" s="95"/>
      <c r="P271" s="95"/>
      <c r="Q271" s="95"/>
      <c r="R271" s="95"/>
      <c r="S271" s="95"/>
      <c r="T271" s="95"/>
      <c r="U271" s="95"/>
    </row>
    <row r="272" spans="1:21" x14ac:dyDescent="0.25">
      <c r="A272" s="95"/>
      <c r="B272" s="95"/>
      <c r="C272" s="95"/>
      <c r="D272" s="95"/>
      <c r="E272" s="95"/>
      <c r="F272" s="95"/>
      <c r="G272" s="95"/>
      <c r="H272" s="95"/>
      <c r="I272" s="95"/>
      <c r="J272" s="95"/>
      <c r="K272" s="95"/>
      <c r="L272" s="95"/>
      <c r="M272" s="95"/>
      <c r="N272" s="95"/>
      <c r="O272" s="95"/>
      <c r="P272" s="95"/>
      <c r="Q272" s="95"/>
      <c r="R272" s="95"/>
      <c r="S272" s="95"/>
      <c r="T272" s="95"/>
      <c r="U272" s="95"/>
    </row>
    <row r="273" spans="1:21" x14ac:dyDescent="0.25">
      <c r="A273" s="95"/>
      <c r="B273" s="95"/>
      <c r="C273" s="95"/>
      <c r="D273" s="95"/>
      <c r="E273" s="95"/>
      <c r="F273" s="95"/>
      <c r="G273" s="95"/>
      <c r="H273" s="95"/>
      <c r="I273" s="95"/>
      <c r="J273" s="95"/>
      <c r="K273" s="95"/>
      <c r="L273" s="95"/>
      <c r="M273" s="95"/>
      <c r="N273" s="95"/>
      <c r="O273" s="95"/>
      <c r="P273" s="95"/>
      <c r="Q273" s="95"/>
      <c r="R273" s="95"/>
      <c r="S273" s="95"/>
      <c r="T273" s="95"/>
      <c r="U273" s="95"/>
    </row>
    <row r="274" spans="1:21" x14ac:dyDescent="0.25">
      <c r="A274" s="95"/>
      <c r="B274" s="95"/>
      <c r="C274" s="95"/>
      <c r="D274" s="95"/>
      <c r="E274" s="95"/>
      <c r="F274" s="95"/>
      <c r="G274" s="95"/>
      <c r="H274" s="95"/>
      <c r="I274" s="95"/>
      <c r="J274" s="95"/>
      <c r="K274" s="95"/>
      <c r="L274" s="95"/>
      <c r="M274" s="95"/>
      <c r="N274" s="95"/>
      <c r="O274" s="95"/>
      <c r="P274" s="95"/>
      <c r="Q274" s="95"/>
      <c r="R274" s="95"/>
      <c r="S274" s="95"/>
      <c r="T274" s="95"/>
      <c r="U274" s="95"/>
    </row>
    <row r="275" spans="1:21" x14ac:dyDescent="0.25">
      <c r="A275" s="95"/>
      <c r="B275" s="95"/>
      <c r="C275" s="95"/>
      <c r="D275" s="95"/>
      <c r="E275" s="95"/>
      <c r="F275" s="95"/>
      <c r="G275" s="95"/>
      <c r="H275" s="95"/>
      <c r="I275" s="95"/>
      <c r="J275" s="95"/>
      <c r="K275" s="95"/>
      <c r="L275" s="95"/>
      <c r="M275" s="95"/>
      <c r="N275" s="95"/>
      <c r="O275" s="95"/>
      <c r="P275" s="95"/>
      <c r="Q275" s="95"/>
      <c r="R275" s="95"/>
      <c r="S275" s="95"/>
      <c r="T275" s="95"/>
      <c r="U275" s="95"/>
    </row>
    <row r="276" spans="1:21" x14ac:dyDescent="0.25">
      <c r="A276" s="95"/>
      <c r="B276" s="95"/>
      <c r="C276" s="95"/>
      <c r="D276" s="95"/>
      <c r="E276" s="95"/>
      <c r="F276" s="95"/>
      <c r="G276" s="95"/>
      <c r="H276" s="95"/>
      <c r="I276" s="95"/>
      <c r="J276" s="95"/>
      <c r="K276" s="95"/>
      <c r="L276" s="95"/>
      <c r="M276" s="95"/>
      <c r="N276" s="95"/>
      <c r="O276" s="95"/>
      <c r="P276" s="95"/>
      <c r="Q276" s="95"/>
      <c r="R276" s="95"/>
      <c r="S276" s="95"/>
      <c r="T276" s="95"/>
      <c r="U276" s="95"/>
    </row>
    <row r="277" spans="1:21" x14ac:dyDescent="0.25">
      <c r="A277" s="95"/>
      <c r="B277" s="95"/>
      <c r="C277" s="95"/>
      <c r="D277" s="95"/>
      <c r="E277" s="95"/>
      <c r="F277" s="95"/>
      <c r="G277" s="95"/>
      <c r="H277" s="95"/>
      <c r="I277" s="95"/>
      <c r="J277" s="95"/>
      <c r="K277" s="95"/>
      <c r="L277" s="95"/>
      <c r="M277" s="95"/>
      <c r="N277" s="95"/>
      <c r="O277" s="95"/>
      <c r="P277" s="95"/>
      <c r="Q277" s="95"/>
      <c r="R277" s="95"/>
      <c r="S277" s="95"/>
      <c r="T277" s="95"/>
      <c r="U277" s="95"/>
    </row>
    <row r="278" spans="1:21" x14ac:dyDescent="0.25">
      <c r="A278" s="95"/>
      <c r="B278" s="95"/>
      <c r="C278" s="95"/>
      <c r="D278" s="95"/>
      <c r="E278" s="95"/>
      <c r="F278" s="95"/>
      <c r="G278" s="95"/>
      <c r="H278" s="95"/>
      <c r="I278" s="95"/>
      <c r="J278" s="95"/>
      <c r="K278" s="95"/>
      <c r="L278" s="95"/>
      <c r="M278" s="95"/>
      <c r="N278" s="95"/>
      <c r="O278" s="95"/>
      <c r="P278" s="95"/>
      <c r="Q278" s="95"/>
      <c r="R278" s="95"/>
      <c r="S278" s="95"/>
      <c r="T278" s="95"/>
      <c r="U278" s="95"/>
    </row>
    <row r="279" spans="1:21" x14ac:dyDescent="0.25">
      <c r="A279" s="95"/>
      <c r="B279" s="95"/>
      <c r="C279" s="95"/>
      <c r="D279" s="95"/>
      <c r="E279" s="95"/>
      <c r="F279" s="95"/>
      <c r="G279" s="95"/>
      <c r="H279" s="95"/>
      <c r="I279" s="95"/>
      <c r="J279" s="95"/>
      <c r="K279" s="95"/>
      <c r="L279" s="95"/>
      <c r="M279" s="95"/>
      <c r="N279" s="95"/>
      <c r="O279" s="95"/>
      <c r="P279" s="95"/>
      <c r="Q279" s="95"/>
      <c r="R279" s="95"/>
      <c r="S279" s="95"/>
      <c r="T279" s="95"/>
      <c r="U279" s="95"/>
    </row>
    <row r="280" spans="1:21" x14ac:dyDescent="0.25">
      <c r="A280" s="95"/>
      <c r="B280" s="95"/>
      <c r="C280" s="95"/>
      <c r="D280" s="95"/>
      <c r="E280" s="95"/>
      <c r="F280" s="95"/>
      <c r="G280" s="95"/>
      <c r="H280" s="95"/>
      <c r="I280" s="95"/>
      <c r="J280" s="95"/>
      <c r="K280" s="95"/>
      <c r="L280" s="95"/>
      <c r="M280" s="95"/>
      <c r="N280" s="95"/>
      <c r="O280" s="95"/>
      <c r="P280" s="95"/>
      <c r="Q280" s="95"/>
      <c r="R280" s="95"/>
      <c r="S280" s="95"/>
      <c r="T280" s="95"/>
      <c r="U280" s="95"/>
    </row>
    <row r="281" spans="1:21" x14ac:dyDescent="0.25">
      <c r="A281" s="95"/>
      <c r="B281" s="95"/>
      <c r="C281" s="95"/>
      <c r="D281" s="95"/>
      <c r="E281" s="95"/>
      <c r="F281" s="95"/>
      <c r="G281" s="95"/>
      <c r="H281" s="95"/>
      <c r="I281" s="95"/>
      <c r="J281" s="95"/>
      <c r="K281" s="95"/>
      <c r="L281" s="95"/>
      <c r="M281" s="95"/>
      <c r="N281" s="95"/>
      <c r="O281" s="95"/>
      <c r="P281" s="95"/>
      <c r="Q281" s="95"/>
      <c r="R281" s="95"/>
      <c r="S281" s="95"/>
      <c r="T281" s="95"/>
      <c r="U281" s="95"/>
    </row>
    <row r="282" spans="1:21" x14ac:dyDescent="0.25">
      <c r="A282" s="95"/>
      <c r="B282" s="95"/>
      <c r="C282" s="95"/>
      <c r="D282" s="95"/>
      <c r="E282" s="95"/>
      <c r="F282" s="95"/>
      <c r="G282" s="95"/>
      <c r="H282" s="95"/>
      <c r="I282" s="95"/>
      <c r="J282" s="95"/>
      <c r="K282" s="95"/>
      <c r="L282" s="95"/>
      <c r="M282" s="95"/>
      <c r="N282" s="95"/>
      <c r="O282" s="95"/>
      <c r="P282" s="95"/>
      <c r="Q282" s="95"/>
      <c r="R282" s="95"/>
      <c r="S282" s="95"/>
      <c r="T282" s="95"/>
      <c r="U282" s="95"/>
    </row>
    <row r="283" spans="1:21" x14ac:dyDescent="0.25">
      <c r="A283" s="95"/>
      <c r="B283" s="95"/>
      <c r="C283" s="95"/>
      <c r="D283" s="95"/>
      <c r="E283" s="95"/>
      <c r="F283" s="95"/>
      <c r="G283" s="95"/>
      <c r="H283" s="95"/>
      <c r="I283" s="95"/>
      <c r="J283" s="95"/>
      <c r="K283" s="95"/>
      <c r="L283" s="95"/>
      <c r="M283" s="95"/>
      <c r="N283" s="95"/>
      <c r="O283" s="95"/>
      <c r="P283" s="95"/>
      <c r="Q283" s="95"/>
      <c r="R283" s="95"/>
      <c r="S283" s="95"/>
      <c r="T283" s="95"/>
      <c r="U283" s="95"/>
    </row>
    <row r="284" spans="1:21" x14ac:dyDescent="0.25">
      <c r="A284" s="95"/>
      <c r="B284" s="95"/>
      <c r="C284" s="95"/>
      <c r="D284" s="95"/>
      <c r="E284" s="95"/>
      <c r="F284" s="95"/>
      <c r="G284" s="95"/>
      <c r="H284" s="95"/>
      <c r="I284" s="95"/>
      <c r="J284" s="95"/>
      <c r="K284" s="95"/>
      <c r="L284" s="95"/>
      <c r="M284" s="95"/>
      <c r="N284" s="95"/>
      <c r="O284" s="95"/>
      <c r="P284" s="95"/>
      <c r="Q284" s="95"/>
      <c r="R284" s="95"/>
      <c r="S284" s="95"/>
      <c r="T284" s="95"/>
      <c r="U284" s="95"/>
    </row>
    <row r="285" spans="1:21" x14ac:dyDescent="0.25">
      <c r="A285" s="95"/>
      <c r="B285" s="95"/>
      <c r="C285" s="95"/>
      <c r="D285" s="95"/>
      <c r="E285" s="95"/>
      <c r="F285" s="95"/>
      <c r="G285" s="95"/>
      <c r="H285" s="95"/>
      <c r="I285" s="95"/>
      <c r="J285" s="95"/>
      <c r="K285" s="95"/>
      <c r="L285" s="95"/>
      <c r="M285" s="95"/>
      <c r="N285" s="95"/>
      <c r="O285" s="95"/>
      <c r="P285" s="95"/>
      <c r="Q285" s="95"/>
      <c r="R285" s="95"/>
      <c r="S285" s="95"/>
      <c r="T285" s="95"/>
      <c r="U285" s="95"/>
    </row>
    <row r="286" spans="1:21" x14ac:dyDescent="0.25">
      <c r="A286" s="95"/>
      <c r="B286" s="95"/>
      <c r="C286" s="95"/>
      <c r="D286" s="95"/>
      <c r="E286" s="95"/>
      <c r="F286" s="95"/>
      <c r="G286" s="95"/>
      <c r="H286" s="95"/>
      <c r="I286" s="95"/>
      <c r="J286" s="95"/>
      <c r="K286" s="95"/>
      <c r="L286" s="95"/>
      <c r="M286" s="95"/>
      <c r="N286" s="95"/>
      <c r="O286" s="95"/>
      <c r="P286" s="95"/>
      <c r="Q286" s="95"/>
      <c r="R286" s="95"/>
      <c r="S286" s="95"/>
      <c r="T286" s="95"/>
      <c r="U286" s="95"/>
    </row>
    <row r="287" spans="1:21" x14ac:dyDescent="0.25">
      <c r="A287" s="95"/>
      <c r="B287" s="95"/>
      <c r="C287" s="95"/>
      <c r="D287" s="95"/>
      <c r="E287" s="95"/>
      <c r="F287" s="95"/>
      <c r="G287" s="95"/>
      <c r="H287" s="95"/>
      <c r="I287" s="95"/>
      <c r="J287" s="95"/>
      <c r="K287" s="95"/>
      <c r="L287" s="95"/>
      <c r="M287" s="95"/>
      <c r="N287" s="95"/>
      <c r="O287" s="95"/>
      <c r="P287" s="95"/>
      <c r="Q287" s="95"/>
      <c r="R287" s="95"/>
      <c r="S287" s="95"/>
      <c r="T287" s="95"/>
      <c r="U287" s="95"/>
    </row>
    <row r="288" spans="1:21" x14ac:dyDescent="0.25">
      <c r="A288" s="95"/>
      <c r="B288" s="95"/>
      <c r="C288" s="95"/>
      <c r="D288" s="95"/>
      <c r="E288" s="95"/>
      <c r="F288" s="95"/>
      <c r="G288" s="95"/>
      <c r="H288" s="95"/>
      <c r="I288" s="95"/>
      <c r="J288" s="95"/>
      <c r="K288" s="95"/>
      <c r="L288" s="95"/>
      <c r="M288" s="95"/>
      <c r="N288" s="95"/>
      <c r="O288" s="95"/>
      <c r="P288" s="95"/>
      <c r="Q288" s="95"/>
      <c r="R288" s="95"/>
      <c r="S288" s="95"/>
      <c r="T288" s="95"/>
      <c r="U288" s="95"/>
    </row>
    <row r="289" spans="1:21" x14ac:dyDescent="0.25">
      <c r="A289" s="95"/>
      <c r="B289" s="95"/>
      <c r="C289" s="95"/>
      <c r="D289" s="95"/>
      <c r="E289" s="95"/>
      <c r="F289" s="95"/>
      <c r="G289" s="95"/>
      <c r="H289" s="95"/>
      <c r="I289" s="95"/>
      <c r="J289" s="95"/>
      <c r="K289" s="95"/>
      <c r="L289" s="95"/>
      <c r="M289" s="95"/>
      <c r="N289" s="95"/>
      <c r="O289" s="95"/>
      <c r="P289" s="95"/>
      <c r="Q289" s="95"/>
      <c r="R289" s="95"/>
      <c r="S289" s="95"/>
      <c r="T289" s="95"/>
      <c r="U289" s="95"/>
    </row>
    <row r="290" spans="1:21" x14ac:dyDescent="0.25">
      <c r="A290" s="95"/>
      <c r="B290" s="95"/>
      <c r="C290" s="95"/>
      <c r="D290" s="95"/>
      <c r="E290" s="95"/>
      <c r="F290" s="95"/>
      <c r="G290" s="95"/>
      <c r="H290" s="95"/>
      <c r="I290" s="95"/>
      <c r="J290" s="95"/>
      <c r="K290" s="95"/>
      <c r="L290" s="95"/>
      <c r="M290" s="95"/>
      <c r="N290" s="95"/>
      <c r="O290" s="95"/>
      <c r="P290" s="95"/>
      <c r="Q290" s="95"/>
      <c r="R290" s="95"/>
      <c r="S290" s="95"/>
      <c r="T290" s="95"/>
      <c r="U290" s="95"/>
    </row>
    <row r="291" spans="1:21" x14ac:dyDescent="0.25">
      <c r="A291" s="95"/>
      <c r="B291" s="95"/>
      <c r="C291" s="95"/>
      <c r="D291" s="95"/>
      <c r="E291" s="95"/>
      <c r="F291" s="95"/>
      <c r="G291" s="95"/>
      <c r="H291" s="95"/>
      <c r="I291" s="95"/>
      <c r="J291" s="95"/>
      <c r="K291" s="95"/>
      <c r="L291" s="95"/>
      <c r="M291" s="95"/>
      <c r="N291" s="95"/>
      <c r="O291" s="95"/>
      <c r="P291" s="95"/>
      <c r="Q291" s="95"/>
      <c r="R291" s="95"/>
      <c r="S291" s="95"/>
      <c r="T291" s="95"/>
      <c r="U291" s="95"/>
    </row>
    <row r="292" spans="1:21" x14ac:dyDescent="0.25">
      <c r="A292" s="95"/>
      <c r="B292" s="95"/>
      <c r="C292" s="95"/>
      <c r="D292" s="95"/>
      <c r="E292" s="95"/>
      <c r="F292" s="95"/>
      <c r="G292" s="95"/>
      <c r="H292" s="95"/>
      <c r="I292" s="95"/>
      <c r="J292" s="95"/>
      <c r="K292" s="95"/>
      <c r="L292" s="95"/>
      <c r="M292" s="95"/>
      <c r="N292" s="95"/>
      <c r="O292" s="95"/>
      <c r="P292" s="95"/>
      <c r="Q292" s="95"/>
      <c r="R292" s="95"/>
      <c r="S292" s="95"/>
      <c r="T292" s="95"/>
      <c r="U292" s="95"/>
    </row>
    <row r="293" spans="1:21" x14ac:dyDescent="0.25">
      <c r="A293" s="95"/>
      <c r="B293" s="95"/>
      <c r="C293" s="95"/>
      <c r="D293" s="95"/>
      <c r="E293" s="95"/>
      <c r="F293" s="95"/>
      <c r="G293" s="95"/>
      <c r="H293" s="95"/>
      <c r="I293" s="95"/>
      <c r="J293" s="95"/>
      <c r="K293" s="95"/>
      <c r="L293" s="95"/>
      <c r="M293" s="95"/>
      <c r="N293" s="95"/>
      <c r="O293" s="95"/>
      <c r="P293" s="95"/>
      <c r="Q293" s="95"/>
      <c r="R293" s="95"/>
      <c r="S293" s="95"/>
      <c r="T293" s="95"/>
      <c r="U293" s="95"/>
    </row>
    <row r="294" spans="1:21" x14ac:dyDescent="0.25">
      <c r="A294" s="95"/>
      <c r="B294" s="95"/>
      <c r="C294" s="95"/>
      <c r="D294" s="95"/>
      <c r="E294" s="95"/>
      <c r="F294" s="95"/>
      <c r="G294" s="95"/>
      <c r="H294" s="95"/>
      <c r="I294" s="95"/>
      <c r="J294" s="95"/>
      <c r="K294" s="95"/>
      <c r="L294" s="95"/>
      <c r="M294" s="95"/>
      <c r="N294" s="95"/>
      <c r="O294" s="95"/>
      <c r="P294" s="95"/>
      <c r="Q294" s="95"/>
      <c r="R294" s="95"/>
      <c r="S294" s="95"/>
      <c r="T294" s="95"/>
      <c r="U294" s="95"/>
    </row>
    <row r="295" spans="1:21" x14ac:dyDescent="0.25">
      <c r="A295" s="95"/>
      <c r="B295" s="95"/>
      <c r="C295" s="95"/>
      <c r="D295" s="95"/>
      <c r="E295" s="95"/>
      <c r="F295" s="95"/>
      <c r="G295" s="95"/>
      <c r="H295" s="95"/>
      <c r="I295" s="95"/>
      <c r="J295" s="95"/>
      <c r="K295" s="95"/>
      <c r="L295" s="95"/>
      <c r="M295" s="95"/>
      <c r="N295" s="95"/>
      <c r="O295" s="95"/>
      <c r="P295" s="95"/>
      <c r="Q295" s="95"/>
      <c r="R295" s="95"/>
      <c r="S295" s="95"/>
      <c r="T295" s="95"/>
      <c r="U295" s="95"/>
    </row>
    <row r="296" spans="1:21" x14ac:dyDescent="0.25">
      <c r="A296" s="95"/>
      <c r="B296" s="95"/>
      <c r="C296" s="95"/>
      <c r="D296" s="95"/>
      <c r="E296" s="95"/>
      <c r="F296" s="95"/>
      <c r="G296" s="95"/>
      <c r="H296" s="95"/>
      <c r="I296" s="95"/>
      <c r="J296" s="95"/>
      <c r="K296" s="95"/>
      <c r="L296" s="95"/>
      <c r="M296" s="95"/>
      <c r="N296" s="95"/>
      <c r="O296" s="95"/>
      <c r="P296" s="95"/>
      <c r="Q296" s="95"/>
      <c r="R296" s="95"/>
      <c r="S296" s="95"/>
      <c r="T296" s="95"/>
      <c r="U296" s="95"/>
    </row>
    <row r="297" spans="1:21" x14ac:dyDescent="0.25">
      <c r="A297" s="95"/>
      <c r="B297" s="95"/>
      <c r="C297" s="95"/>
      <c r="D297" s="95"/>
      <c r="E297" s="95"/>
      <c r="F297" s="95"/>
      <c r="G297" s="95"/>
      <c r="H297" s="95"/>
      <c r="I297" s="95"/>
      <c r="J297" s="95"/>
      <c r="K297" s="95"/>
      <c r="L297" s="95"/>
      <c r="M297" s="95"/>
      <c r="N297" s="95"/>
      <c r="O297" s="95"/>
      <c r="P297" s="95"/>
      <c r="Q297" s="95"/>
      <c r="R297" s="95"/>
      <c r="S297" s="95"/>
      <c r="T297" s="95"/>
      <c r="U297" s="95"/>
    </row>
    <row r="298" spans="1:21" x14ac:dyDescent="0.25">
      <c r="A298" s="95"/>
      <c r="B298" s="95"/>
      <c r="C298" s="95"/>
      <c r="D298" s="95"/>
      <c r="E298" s="95"/>
      <c r="F298" s="95"/>
      <c r="G298" s="95"/>
      <c r="H298" s="95"/>
      <c r="I298" s="95"/>
      <c r="J298" s="95"/>
      <c r="K298" s="95"/>
      <c r="L298" s="95"/>
      <c r="M298" s="95"/>
      <c r="N298" s="95"/>
      <c r="O298" s="95"/>
      <c r="P298" s="95"/>
      <c r="Q298" s="95"/>
      <c r="R298" s="95"/>
      <c r="S298" s="95"/>
      <c r="T298" s="95"/>
      <c r="U298" s="95"/>
    </row>
    <row r="299" spans="1:21" x14ac:dyDescent="0.25">
      <c r="A299" s="95"/>
      <c r="B299" s="95"/>
      <c r="C299" s="95"/>
      <c r="D299" s="95"/>
      <c r="E299" s="95"/>
      <c r="F299" s="95"/>
      <c r="G299" s="95"/>
      <c r="H299" s="95"/>
      <c r="I299" s="95"/>
      <c r="J299" s="95"/>
      <c r="K299" s="95"/>
      <c r="L299" s="95"/>
      <c r="M299" s="95"/>
      <c r="N299" s="95"/>
      <c r="O299" s="95"/>
      <c r="P299" s="95"/>
      <c r="Q299" s="95"/>
      <c r="R299" s="95"/>
      <c r="S299" s="95"/>
      <c r="T299" s="95"/>
      <c r="U299" s="95"/>
    </row>
    <row r="300" spans="1:21" x14ac:dyDescent="0.25">
      <c r="A300" s="95"/>
      <c r="B300" s="95"/>
      <c r="C300" s="95"/>
      <c r="D300" s="95"/>
      <c r="E300" s="95"/>
      <c r="F300" s="95"/>
      <c r="G300" s="95"/>
      <c r="H300" s="95"/>
      <c r="I300" s="95"/>
      <c r="J300" s="95"/>
      <c r="K300" s="95"/>
      <c r="L300" s="95"/>
      <c r="M300" s="95"/>
      <c r="N300" s="95"/>
      <c r="O300" s="95"/>
      <c r="P300" s="95"/>
      <c r="Q300" s="95"/>
      <c r="R300" s="95"/>
      <c r="S300" s="95"/>
      <c r="T300" s="95"/>
      <c r="U300" s="95"/>
    </row>
    <row r="301" spans="1:21" x14ac:dyDescent="0.25">
      <c r="A301" s="95"/>
      <c r="B301" s="95"/>
      <c r="C301" s="95"/>
      <c r="D301" s="95"/>
      <c r="E301" s="95"/>
      <c r="F301" s="95"/>
      <c r="G301" s="95"/>
      <c r="H301" s="95"/>
      <c r="I301" s="95"/>
      <c r="J301" s="95"/>
      <c r="K301" s="95"/>
      <c r="L301" s="95"/>
      <c r="M301" s="95"/>
      <c r="N301" s="95"/>
      <c r="O301" s="95"/>
      <c r="P301" s="95"/>
      <c r="Q301" s="95"/>
      <c r="R301" s="95"/>
      <c r="S301" s="95"/>
      <c r="T301" s="95"/>
      <c r="U301" s="95"/>
    </row>
    <row r="302" spans="1:21" x14ac:dyDescent="0.25">
      <c r="A302" s="95"/>
      <c r="B302" s="95"/>
      <c r="C302" s="95"/>
      <c r="D302" s="95"/>
      <c r="E302" s="95"/>
      <c r="F302" s="95"/>
      <c r="G302" s="95"/>
      <c r="H302" s="95"/>
      <c r="I302" s="95"/>
      <c r="J302" s="95"/>
      <c r="K302" s="95"/>
      <c r="L302" s="95"/>
      <c r="M302" s="95"/>
      <c r="N302" s="95"/>
      <c r="O302" s="95"/>
      <c r="P302" s="95"/>
      <c r="Q302" s="95"/>
      <c r="R302" s="95"/>
      <c r="S302" s="95"/>
      <c r="T302" s="95"/>
      <c r="U302" s="95"/>
    </row>
    <row r="303" spans="1:21" x14ac:dyDescent="0.25">
      <c r="A303" s="95"/>
      <c r="B303" s="95"/>
      <c r="C303" s="95"/>
      <c r="D303" s="95"/>
      <c r="E303" s="95"/>
      <c r="F303" s="95"/>
      <c r="G303" s="95"/>
      <c r="H303" s="95"/>
      <c r="I303" s="95"/>
      <c r="J303" s="95"/>
      <c r="K303" s="95"/>
      <c r="L303" s="95"/>
      <c r="M303" s="95"/>
      <c r="N303" s="95"/>
      <c r="O303" s="95"/>
      <c r="P303" s="95"/>
      <c r="Q303" s="95"/>
      <c r="R303" s="95"/>
      <c r="S303" s="95"/>
      <c r="T303" s="95"/>
      <c r="U303" s="95"/>
    </row>
    <row r="304" spans="1:21" x14ac:dyDescent="0.25">
      <c r="A304" s="95"/>
      <c r="B304" s="95"/>
      <c r="C304" s="95"/>
      <c r="D304" s="95"/>
      <c r="E304" s="95"/>
      <c r="F304" s="95"/>
      <c r="G304" s="95"/>
      <c r="H304" s="95"/>
      <c r="I304" s="95"/>
      <c r="J304" s="95"/>
      <c r="K304" s="95"/>
      <c r="L304" s="95"/>
      <c r="M304" s="95"/>
      <c r="N304" s="95"/>
      <c r="O304" s="95"/>
      <c r="P304" s="95"/>
      <c r="Q304" s="95"/>
      <c r="R304" s="95"/>
      <c r="S304" s="95"/>
      <c r="T304" s="95"/>
      <c r="U304" s="95"/>
    </row>
    <row r="305" spans="1:21" x14ac:dyDescent="0.25">
      <c r="A305" s="95"/>
      <c r="B305" s="95"/>
      <c r="C305" s="95"/>
      <c r="D305" s="95"/>
      <c r="E305" s="95"/>
      <c r="F305" s="95"/>
      <c r="G305" s="95"/>
      <c r="H305" s="95"/>
      <c r="I305" s="95"/>
      <c r="J305" s="95"/>
      <c r="K305" s="95"/>
      <c r="L305" s="95"/>
      <c r="M305" s="95"/>
      <c r="N305" s="95"/>
      <c r="O305" s="95"/>
      <c r="P305" s="95"/>
      <c r="Q305" s="95"/>
      <c r="R305" s="95"/>
      <c r="S305" s="95"/>
      <c r="T305" s="95"/>
      <c r="U305" s="95"/>
    </row>
    <row r="306" spans="1:21" x14ac:dyDescent="0.25">
      <c r="A306" s="95"/>
      <c r="B306" s="95"/>
      <c r="C306" s="95"/>
      <c r="D306" s="95"/>
      <c r="E306" s="95"/>
      <c r="F306" s="95"/>
      <c r="G306" s="95"/>
      <c r="H306" s="95"/>
      <c r="I306" s="95"/>
      <c r="J306" s="95"/>
      <c r="K306" s="95"/>
      <c r="L306" s="95"/>
      <c r="M306" s="95"/>
      <c r="N306" s="95"/>
      <c r="O306" s="95"/>
      <c r="P306" s="95"/>
      <c r="Q306" s="95"/>
      <c r="R306" s="95"/>
      <c r="S306" s="95"/>
      <c r="T306" s="95"/>
      <c r="U306" s="95"/>
    </row>
    <row r="307" spans="1:21" x14ac:dyDescent="0.25">
      <c r="A307" s="95"/>
      <c r="B307" s="95"/>
      <c r="C307" s="95"/>
      <c r="D307" s="95"/>
      <c r="E307" s="95"/>
      <c r="F307" s="95"/>
      <c r="G307" s="95"/>
      <c r="H307" s="95"/>
      <c r="I307" s="95"/>
      <c r="J307" s="95"/>
      <c r="K307" s="95"/>
      <c r="L307" s="95"/>
      <c r="M307" s="95"/>
      <c r="N307" s="95"/>
      <c r="O307" s="95"/>
      <c r="P307" s="95"/>
      <c r="Q307" s="95"/>
      <c r="R307" s="95"/>
      <c r="S307" s="95"/>
      <c r="T307" s="95"/>
      <c r="U307" s="95"/>
    </row>
    <row r="308" spans="1:21" x14ac:dyDescent="0.25">
      <c r="A308" s="95"/>
      <c r="B308" s="95"/>
      <c r="C308" s="95"/>
      <c r="D308" s="95"/>
      <c r="E308" s="95"/>
      <c r="F308" s="95"/>
      <c r="G308" s="95"/>
      <c r="H308" s="95"/>
      <c r="I308" s="95"/>
      <c r="J308" s="95"/>
      <c r="K308" s="95"/>
      <c r="L308" s="95"/>
      <c r="M308" s="95"/>
      <c r="N308" s="95"/>
      <c r="O308" s="95"/>
      <c r="P308" s="95"/>
      <c r="Q308" s="95"/>
      <c r="R308" s="95"/>
      <c r="S308" s="95"/>
      <c r="T308" s="95"/>
      <c r="U308" s="95"/>
    </row>
    <row r="309" spans="1:21" x14ac:dyDescent="0.25">
      <c r="A309" s="95"/>
      <c r="B309" s="95"/>
      <c r="C309" s="95"/>
      <c r="D309" s="95"/>
      <c r="E309" s="95"/>
      <c r="F309" s="95"/>
      <c r="G309" s="95"/>
      <c r="H309" s="95"/>
      <c r="I309" s="95"/>
      <c r="J309" s="95"/>
      <c r="K309" s="95"/>
      <c r="L309" s="95"/>
      <c r="M309" s="95"/>
      <c r="N309" s="95"/>
      <c r="O309" s="95"/>
      <c r="P309" s="95"/>
      <c r="Q309" s="95"/>
      <c r="R309" s="95"/>
      <c r="S309" s="95"/>
      <c r="T309" s="95"/>
      <c r="U309" s="95"/>
    </row>
    <row r="310" spans="1:21" x14ac:dyDescent="0.25">
      <c r="A310" s="95"/>
      <c r="B310" s="95"/>
      <c r="C310" s="95"/>
      <c r="D310" s="95"/>
      <c r="E310" s="95"/>
      <c r="F310" s="95"/>
      <c r="G310" s="95"/>
      <c r="H310" s="95"/>
      <c r="I310" s="95"/>
      <c r="J310" s="95"/>
      <c r="K310" s="95"/>
      <c r="L310" s="95"/>
      <c r="M310" s="95"/>
      <c r="N310" s="95"/>
      <c r="O310" s="95"/>
      <c r="P310" s="95"/>
      <c r="Q310" s="95"/>
      <c r="R310" s="95"/>
      <c r="S310" s="95"/>
      <c r="T310" s="95"/>
      <c r="U310" s="95"/>
    </row>
    <row r="311" spans="1:21" x14ac:dyDescent="0.25">
      <c r="A311" s="95"/>
      <c r="B311" s="95"/>
      <c r="C311" s="95"/>
      <c r="D311" s="95"/>
      <c r="E311" s="95"/>
      <c r="F311" s="95"/>
      <c r="G311" s="95"/>
      <c r="H311" s="95"/>
      <c r="I311" s="95"/>
      <c r="J311" s="95"/>
      <c r="K311" s="95"/>
      <c r="L311" s="95"/>
      <c r="M311" s="95"/>
      <c r="N311" s="95"/>
      <c r="O311" s="95"/>
      <c r="P311" s="95"/>
      <c r="Q311" s="95"/>
      <c r="R311" s="95"/>
      <c r="S311" s="95"/>
      <c r="T311" s="95"/>
      <c r="U311" s="95"/>
    </row>
    <row r="312" spans="1:21" x14ac:dyDescent="0.25">
      <c r="A312" s="95"/>
      <c r="B312" s="95"/>
      <c r="C312" s="95"/>
      <c r="D312" s="95"/>
      <c r="E312" s="95"/>
      <c r="F312" s="95"/>
      <c r="G312" s="95"/>
      <c r="H312" s="95"/>
      <c r="I312" s="95"/>
      <c r="J312" s="95"/>
      <c r="K312" s="95"/>
      <c r="L312" s="95"/>
      <c r="M312" s="95"/>
      <c r="N312" s="95"/>
      <c r="O312" s="95"/>
      <c r="P312" s="95"/>
      <c r="Q312" s="95"/>
      <c r="R312" s="95"/>
      <c r="S312" s="95"/>
      <c r="T312" s="95"/>
      <c r="U312" s="95"/>
    </row>
    <row r="313" spans="1:21" x14ac:dyDescent="0.25">
      <c r="A313" s="95"/>
      <c r="B313" s="95"/>
      <c r="C313" s="95"/>
      <c r="D313" s="95"/>
      <c r="E313" s="95"/>
      <c r="F313" s="95"/>
      <c r="G313" s="95"/>
      <c r="H313" s="95"/>
      <c r="I313" s="95"/>
      <c r="J313" s="95"/>
      <c r="K313" s="95"/>
      <c r="L313" s="95"/>
      <c r="M313" s="95"/>
      <c r="N313" s="95"/>
      <c r="O313" s="95"/>
      <c r="P313" s="95"/>
      <c r="Q313" s="95"/>
      <c r="R313" s="95"/>
      <c r="S313" s="95"/>
      <c r="T313" s="95"/>
      <c r="U313" s="95"/>
    </row>
    <row r="314" spans="1:21" x14ac:dyDescent="0.25">
      <c r="A314" s="95"/>
      <c r="B314" s="95"/>
      <c r="C314" s="95"/>
      <c r="D314" s="95"/>
      <c r="E314" s="95"/>
      <c r="F314" s="95"/>
      <c r="G314" s="95"/>
      <c r="H314" s="95"/>
      <c r="I314" s="95"/>
      <c r="J314" s="95"/>
      <c r="K314" s="95"/>
      <c r="L314" s="95"/>
      <c r="M314" s="95"/>
      <c r="N314" s="95"/>
      <c r="O314" s="95"/>
      <c r="P314" s="95"/>
      <c r="Q314" s="95"/>
      <c r="R314" s="95"/>
      <c r="S314" s="95"/>
      <c r="T314" s="95"/>
      <c r="U314" s="95"/>
    </row>
    <row r="315" spans="1:21" x14ac:dyDescent="0.25">
      <c r="A315" s="95"/>
      <c r="B315" s="95"/>
      <c r="C315" s="95"/>
      <c r="D315" s="95"/>
      <c r="E315" s="95"/>
      <c r="F315" s="95"/>
      <c r="G315" s="95"/>
      <c r="H315" s="95"/>
      <c r="I315" s="95"/>
      <c r="J315" s="95"/>
      <c r="K315" s="95"/>
      <c r="L315" s="95"/>
      <c r="M315" s="95"/>
      <c r="N315" s="95"/>
      <c r="O315" s="95"/>
      <c r="P315" s="95"/>
      <c r="Q315" s="95"/>
      <c r="R315" s="95"/>
      <c r="S315" s="95"/>
      <c r="T315" s="95"/>
      <c r="U315" s="95"/>
    </row>
    <row r="316" spans="1:21" x14ac:dyDescent="0.25">
      <c r="A316" s="95"/>
      <c r="B316" s="95"/>
      <c r="C316" s="95"/>
      <c r="D316" s="95"/>
      <c r="E316" s="95"/>
      <c r="F316" s="95"/>
      <c r="G316" s="95"/>
      <c r="H316" s="95"/>
      <c r="I316" s="95"/>
      <c r="J316" s="95"/>
      <c r="K316" s="95"/>
      <c r="L316" s="95"/>
      <c r="M316" s="95"/>
      <c r="N316" s="95"/>
      <c r="O316" s="95"/>
      <c r="P316" s="95"/>
      <c r="Q316" s="95"/>
      <c r="R316" s="95"/>
      <c r="S316" s="95"/>
      <c r="T316" s="95"/>
      <c r="U316" s="95"/>
    </row>
    <row r="317" spans="1:21" x14ac:dyDescent="0.25">
      <c r="A317" s="95"/>
      <c r="B317" s="95"/>
      <c r="C317" s="95"/>
      <c r="D317" s="95"/>
      <c r="E317" s="95"/>
      <c r="F317" s="95"/>
      <c r="G317" s="95"/>
      <c r="H317" s="95"/>
      <c r="I317" s="95"/>
      <c r="J317" s="95"/>
      <c r="K317" s="95"/>
      <c r="L317" s="95"/>
      <c r="M317" s="95"/>
      <c r="N317" s="95"/>
      <c r="O317" s="95"/>
      <c r="P317" s="95"/>
      <c r="Q317" s="95"/>
      <c r="R317" s="95"/>
      <c r="S317" s="95"/>
      <c r="T317" s="95"/>
      <c r="U317" s="95"/>
    </row>
    <row r="318" spans="1:21" x14ac:dyDescent="0.25">
      <c r="A318" s="95"/>
      <c r="B318" s="95"/>
      <c r="C318" s="95"/>
      <c r="D318" s="95"/>
      <c r="E318" s="95"/>
      <c r="F318" s="95"/>
      <c r="G318" s="95"/>
      <c r="H318" s="95"/>
      <c r="I318" s="95"/>
      <c r="J318" s="95"/>
      <c r="K318" s="95"/>
      <c r="L318" s="95"/>
      <c r="M318" s="95"/>
      <c r="N318" s="95"/>
      <c r="O318" s="95"/>
      <c r="P318" s="95"/>
      <c r="Q318" s="95"/>
      <c r="R318" s="95"/>
      <c r="S318" s="95"/>
      <c r="T318" s="95"/>
      <c r="U318" s="95"/>
    </row>
    <row r="319" spans="1:21" x14ac:dyDescent="0.25">
      <c r="A319" s="95"/>
      <c r="B319" s="95"/>
      <c r="C319" s="95"/>
      <c r="D319" s="95"/>
      <c r="E319" s="95"/>
      <c r="F319" s="95"/>
      <c r="G319" s="95"/>
      <c r="H319" s="95"/>
      <c r="I319" s="95"/>
      <c r="J319" s="95"/>
      <c r="K319" s="95"/>
      <c r="L319" s="95"/>
      <c r="M319" s="95"/>
      <c r="N319" s="95"/>
      <c r="O319" s="95"/>
      <c r="P319" s="95"/>
      <c r="Q319" s="95"/>
      <c r="R319" s="95"/>
      <c r="S319" s="95"/>
      <c r="T319" s="95"/>
      <c r="U319" s="95"/>
    </row>
    <row r="320" spans="1:21" x14ac:dyDescent="0.25">
      <c r="A320" s="95"/>
      <c r="B320" s="95"/>
      <c r="C320" s="95"/>
      <c r="D320" s="95"/>
      <c r="E320" s="95"/>
      <c r="F320" s="95"/>
      <c r="G320" s="95"/>
      <c r="H320" s="95"/>
      <c r="I320" s="95"/>
      <c r="J320" s="95"/>
      <c r="K320" s="95"/>
      <c r="L320" s="95"/>
      <c r="M320" s="95"/>
      <c r="N320" s="95"/>
      <c r="O320" s="95"/>
      <c r="P320" s="95"/>
      <c r="Q320" s="95"/>
      <c r="R320" s="95"/>
      <c r="S320" s="95"/>
      <c r="T320" s="95"/>
      <c r="U320" s="95"/>
    </row>
    <row r="321" spans="1:21" x14ac:dyDescent="0.25">
      <c r="A321" s="95"/>
      <c r="B321" s="95"/>
      <c r="C321" s="95"/>
      <c r="D321" s="95"/>
      <c r="E321" s="95"/>
      <c r="F321" s="95"/>
      <c r="G321" s="95"/>
      <c r="H321" s="95"/>
      <c r="I321" s="95"/>
      <c r="J321" s="95"/>
      <c r="K321" s="95"/>
      <c r="L321" s="95"/>
      <c r="M321" s="95"/>
      <c r="N321" s="95"/>
      <c r="O321" s="95"/>
      <c r="P321" s="95"/>
      <c r="Q321" s="95"/>
      <c r="R321" s="95"/>
      <c r="S321" s="95"/>
      <c r="T321" s="95"/>
      <c r="U321" s="95"/>
    </row>
    <row r="322" spans="1:21" x14ac:dyDescent="0.25">
      <c r="A322" s="95"/>
      <c r="B322" s="95"/>
      <c r="C322" s="95"/>
      <c r="D322" s="95"/>
      <c r="E322" s="95"/>
      <c r="F322" s="95"/>
      <c r="G322" s="95"/>
      <c r="H322" s="95"/>
      <c r="I322" s="95"/>
      <c r="J322" s="95"/>
      <c r="K322" s="95"/>
      <c r="L322" s="95"/>
      <c r="M322" s="95"/>
      <c r="N322" s="95"/>
      <c r="O322" s="95"/>
      <c r="P322" s="95"/>
      <c r="Q322" s="95"/>
      <c r="R322" s="95"/>
      <c r="S322" s="95"/>
      <c r="T322" s="95"/>
      <c r="U322" s="95"/>
    </row>
    <row r="323" spans="1:21" x14ac:dyDescent="0.25">
      <c r="A323" s="95"/>
      <c r="B323" s="95"/>
      <c r="C323" s="95"/>
      <c r="D323" s="95"/>
      <c r="E323" s="95"/>
      <c r="F323" s="95"/>
      <c r="G323" s="95"/>
      <c r="H323" s="95"/>
      <c r="I323" s="95"/>
      <c r="J323" s="95"/>
      <c r="K323" s="95"/>
      <c r="L323" s="95"/>
      <c r="M323" s="95"/>
      <c r="N323" s="95"/>
      <c r="O323" s="95"/>
      <c r="P323" s="95"/>
      <c r="Q323" s="95"/>
      <c r="R323" s="95"/>
      <c r="S323" s="95"/>
      <c r="T323" s="95"/>
      <c r="U323" s="95"/>
    </row>
    <row r="324" spans="1:21" x14ac:dyDescent="0.25">
      <c r="A324" s="95"/>
      <c r="B324" s="95"/>
      <c r="C324" s="95"/>
      <c r="D324" s="95"/>
      <c r="E324" s="95"/>
      <c r="F324" s="95"/>
      <c r="G324" s="95"/>
      <c r="H324" s="95"/>
      <c r="I324" s="95"/>
      <c r="J324" s="95"/>
      <c r="K324" s="95"/>
      <c r="L324" s="95"/>
      <c r="M324" s="95"/>
      <c r="N324" s="95"/>
      <c r="O324" s="95"/>
      <c r="P324" s="95"/>
      <c r="Q324" s="95"/>
      <c r="R324" s="95"/>
      <c r="S324" s="95"/>
      <c r="T324" s="95"/>
      <c r="U324" s="95"/>
    </row>
    <row r="325" spans="1:21" x14ac:dyDescent="0.25">
      <c r="A325" s="95"/>
      <c r="B325" s="95"/>
      <c r="C325" s="95"/>
      <c r="D325" s="95"/>
      <c r="E325" s="95"/>
      <c r="F325" s="95"/>
      <c r="G325" s="95"/>
      <c r="H325" s="95"/>
      <c r="I325" s="95"/>
      <c r="J325" s="95"/>
      <c r="K325" s="95"/>
      <c r="L325" s="95"/>
      <c r="M325" s="95"/>
      <c r="N325" s="95"/>
      <c r="O325" s="95"/>
      <c r="P325" s="95"/>
      <c r="Q325" s="95"/>
      <c r="R325" s="95"/>
      <c r="S325" s="95"/>
      <c r="T325" s="95"/>
      <c r="U325" s="95"/>
    </row>
    <row r="326" spans="1:21" x14ac:dyDescent="0.25">
      <c r="A326" s="95"/>
      <c r="B326" s="95"/>
      <c r="C326" s="95"/>
      <c r="D326" s="95"/>
      <c r="E326" s="95"/>
      <c r="F326" s="95"/>
      <c r="G326" s="95"/>
      <c r="H326" s="95"/>
      <c r="I326" s="95"/>
      <c r="J326" s="95"/>
      <c r="K326" s="95"/>
      <c r="L326" s="95"/>
      <c r="M326" s="95"/>
      <c r="N326" s="95"/>
      <c r="O326" s="95"/>
      <c r="P326" s="95"/>
      <c r="Q326" s="95"/>
      <c r="R326" s="95"/>
      <c r="S326" s="95"/>
      <c r="T326" s="95"/>
      <c r="U326" s="95"/>
    </row>
    <row r="327" spans="1:21" x14ac:dyDescent="0.25">
      <c r="A327" s="95"/>
      <c r="B327" s="95"/>
      <c r="C327" s="95"/>
      <c r="D327" s="95"/>
      <c r="E327" s="95"/>
      <c r="F327" s="95"/>
      <c r="G327" s="95"/>
      <c r="H327" s="95"/>
      <c r="I327" s="95"/>
      <c r="J327" s="95"/>
      <c r="K327" s="95"/>
      <c r="L327" s="95"/>
      <c r="M327" s="95"/>
      <c r="N327" s="95"/>
      <c r="O327" s="95"/>
      <c r="P327" s="95"/>
      <c r="Q327" s="95"/>
      <c r="R327" s="95"/>
      <c r="S327" s="95"/>
      <c r="T327" s="95"/>
      <c r="U327" s="95"/>
    </row>
    <row r="328" spans="1:21" x14ac:dyDescent="0.25">
      <c r="A328" s="95"/>
      <c r="B328" s="95"/>
      <c r="C328" s="95"/>
      <c r="D328" s="95"/>
      <c r="E328" s="95"/>
      <c r="F328" s="95"/>
      <c r="G328" s="95"/>
      <c r="H328" s="95"/>
      <c r="I328" s="95"/>
      <c r="J328" s="95"/>
      <c r="K328" s="95"/>
      <c r="L328" s="95"/>
      <c r="M328" s="95"/>
      <c r="N328" s="95"/>
      <c r="O328" s="95"/>
      <c r="P328" s="95"/>
      <c r="Q328" s="95"/>
      <c r="R328" s="95"/>
      <c r="S328" s="95"/>
      <c r="T328" s="95"/>
      <c r="U328" s="95"/>
    </row>
    <row r="329" spans="1:21" x14ac:dyDescent="0.25">
      <c r="A329" s="95"/>
      <c r="B329" s="95"/>
      <c r="C329" s="95"/>
      <c r="D329" s="95"/>
      <c r="E329" s="95"/>
      <c r="F329" s="95"/>
      <c r="G329" s="95"/>
      <c r="H329" s="95"/>
      <c r="I329" s="95"/>
      <c r="J329" s="95"/>
      <c r="K329" s="95"/>
      <c r="L329" s="95"/>
      <c r="M329" s="95"/>
      <c r="N329" s="95"/>
      <c r="O329" s="95"/>
      <c r="P329" s="95"/>
      <c r="Q329" s="95"/>
      <c r="R329" s="95"/>
      <c r="S329" s="95"/>
      <c r="T329" s="95"/>
      <c r="U329" s="95"/>
    </row>
    <row r="330" spans="1:21" x14ac:dyDescent="0.25">
      <c r="A330" s="95"/>
      <c r="B330" s="95"/>
      <c r="C330" s="95"/>
      <c r="D330" s="95"/>
      <c r="E330" s="95"/>
      <c r="F330" s="95"/>
      <c r="G330" s="95"/>
      <c r="H330" s="95"/>
      <c r="I330" s="95"/>
      <c r="J330" s="95"/>
      <c r="K330" s="95"/>
      <c r="L330" s="95"/>
      <c r="M330" s="95"/>
      <c r="N330" s="95"/>
      <c r="O330" s="95"/>
      <c r="P330" s="95"/>
      <c r="Q330" s="95"/>
      <c r="R330" s="95"/>
      <c r="S330" s="95"/>
      <c r="T330" s="95"/>
      <c r="U330" s="95"/>
    </row>
    <row r="331" spans="1:21" x14ac:dyDescent="0.25">
      <c r="A331" s="95"/>
      <c r="B331" s="95"/>
      <c r="C331" s="95"/>
      <c r="D331" s="95"/>
      <c r="E331" s="95"/>
      <c r="F331" s="95"/>
      <c r="G331" s="95"/>
      <c r="H331" s="95"/>
      <c r="I331" s="95"/>
      <c r="J331" s="95"/>
      <c r="K331" s="95"/>
      <c r="L331" s="95"/>
      <c r="M331" s="95"/>
      <c r="N331" s="95"/>
      <c r="O331" s="95"/>
      <c r="P331" s="95"/>
      <c r="Q331" s="95"/>
      <c r="R331" s="95"/>
      <c r="S331" s="95"/>
      <c r="T331" s="95"/>
      <c r="U331" s="95"/>
    </row>
    <row r="332" spans="1:21" x14ac:dyDescent="0.25">
      <c r="A332" s="95"/>
      <c r="B332" s="95"/>
      <c r="C332" s="95"/>
      <c r="D332" s="95"/>
      <c r="E332" s="95"/>
      <c r="F332" s="95"/>
      <c r="G332" s="95"/>
      <c r="H332" s="95"/>
      <c r="I332" s="95"/>
      <c r="J332" s="95"/>
      <c r="K332" s="95"/>
      <c r="L332" s="95"/>
      <c r="M332" s="95"/>
      <c r="N332" s="95"/>
      <c r="O332" s="95"/>
      <c r="P332" s="95"/>
      <c r="Q332" s="95"/>
      <c r="R332" s="95"/>
      <c r="S332" s="95"/>
      <c r="T332" s="95"/>
      <c r="U332" s="95"/>
    </row>
    <row r="333" spans="1:21" x14ac:dyDescent="0.25">
      <c r="A333" s="95"/>
      <c r="B333" s="95"/>
      <c r="C333" s="95"/>
      <c r="D333" s="95"/>
      <c r="E333" s="95"/>
      <c r="F333" s="95"/>
      <c r="G333" s="95"/>
      <c r="H333" s="95"/>
      <c r="I333" s="95"/>
      <c r="J333" s="95"/>
      <c r="K333" s="95"/>
      <c r="L333" s="95"/>
      <c r="M333" s="95"/>
      <c r="N333" s="95"/>
      <c r="O333" s="95"/>
      <c r="P333" s="95"/>
      <c r="Q333" s="95"/>
      <c r="R333" s="95"/>
      <c r="S333" s="95"/>
      <c r="T333" s="95"/>
      <c r="U333" s="95"/>
    </row>
    <row r="334" spans="1:21" x14ac:dyDescent="0.25">
      <c r="A334" s="95"/>
      <c r="B334" s="95"/>
      <c r="C334" s="95"/>
      <c r="D334" s="95"/>
      <c r="E334" s="95"/>
      <c r="F334" s="95"/>
      <c r="G334" s="95"/>
      <c r="H334" s="95"/>
      <c r="I334" s="95"/>
      <c r="J334" s="95"/>
      <c r="K334" s="95"/>
      <c r="L334" s="95"/>
      <c r="M334" s="95"/>
      <c r="N334" s="95"/>
      <c r="O334" s="95"/>
      <c r="P334" s="95"/>
      <c r="Q334" s="95"/>
      <c r="R334" s="95"/>
      <c r="S334" s="95"/>
      <c r="T334" s="95"/>
      <c r="U334" s="95"/>
    </row>
    <row r="335" spans="1:21" x14ac:dyDescent="0.25">
      <c r="A335" s="95"/>
      <c r="B335" s="95"/>
      <c r="C335" s="95"/>
      <c r="D335" s="95"/>
      <c r="E335" s="95"/>
      <c r="F335" s="95"/>
      <c r="G335" s="95"/>
      <c r="H335" s="95"/>
      <c r="I335" s="95"/>
      <c r="J335" s="95"/>
      <c r="K335" s="95"/>
      <c r="L335" s="95"/>
      <c r="M335" s="95"/>
      <c r="N335" s="95"/>
      <c r="O335" s="95"/>
      <c r="P335" s="95"/>
      <c r="Q335" s="95"/>
      <c r="R335" s="95"/>
      <c r="S335" s="95"/>
      <c r="T335" s="95"/>
      <c r="U335" s="95"/>
    </row>
    <row r="336" spans="1:21" x14ac:dyDescent="0.25">
      <c r="A336" s="95"/>
      <c r="B336" s="95"/>
      <c r="C336" s="95"/>
      <c r="D336" s="95"/>
      <c r="E336" s="95"/>
      <c r="F336" s="95"/>
      <c r="G336" s="95"/>
      <c r="H336" s="95"/>
      <c r="I336" s="95"/>
      <c r="J336" s="95"/>
      <c r="K336" s="95"/>
      <c r="L336" s="95"/>
      <c r="M336" s="95"/>
      <c r="N336" s="95"/>
      <c r="O336" s="95"/>
      <c r="P336" s="95"/>
      <c r="Q336" s="95"/>
      <c r="R336" s="95"/>
      <c r="S336" s="95"/>
      <c r="T336" s="95"/>
      <c r="U336" s="95"/>
    </row>
    <row r="337" spans="1:21" x14ac:dyDescent="0.25">
      <c r="A337" s="95"/>
      <c r="B337" s="95"/>
      <c r="C337" s="95"/>
      <c r="D337" s="95"/>
      <c r="E337" s="95"/>
      <c r="F337" s="95"/>
      <c r="G337" s="95"/>
      <c r="H337" s="95"/>
      <c r="I337" s="95"/>
      <c r="J337" s="95"/>
      <c r="K337" s="95"/>
      <c r="L337" s="95"/>
      <c r="M337" s="95"/>
      <c r="N337" s="95"/>
      <c r="O337" s="95"/>
      <c r="P337" s="95"/>
      <c r="Q337" s="95"/>
      <c r="R337" s="95"/>
      <c r="S337" s="95"/>
      <c r="T337" s="95"/>
      <c r="U337" s="95"/>
    </row>
    <row r="338" spans="1:21" x14ac:dyDescent="0.25">
      <c r="A338" s="95"/>
      <c r="B338" s="95"/>
      <c r="C338" s="95"/>
      <c r="D338" s="95"/>
      <c r="E338" s="95"/>
      <c r="F338" s="95"/>
      <c r="G338" s="95"/>
      <c r="H338" s="95"/>
      <c r="I338" s="95"/>
      <c r="J338" s="95"/>
      <c r="K338" s="95"/>
      <c r="L338" s="95"/>
      <c r="M338" s="95"/>
      <c r="N338" s="95"/>
      <c r="O338" s="95"/>
      <c r="P338" s="95"/>
      <c r="Q338" s="95"/>
      <c r="R338" s="95"/>
      <c r="S338" s="95"/>
      <c r="T338" s="95"/>
      <c r="U338" s="95"/>
    </row>
    <row r="339" spans="1:21" x14ac:dyDescent="0.25">
      <c r="A339" s="95"/>
      <c r="B339" s="95"/>
      <c r="C339" s="95"/>
      <c r="D339" s="95"/>
      <c r="E339" s="95"/>
      <c r="F339" s="95"/>
      <c r="G339" s="95"/>
      <c r="H339" s="95"/>
      <c r="I339" s="95"/>
      <c r="J339" s="95"/>
      <c r="K339" s="95"/>
      <c r="L339" s="95"/>
      <c r="M339" s="95"/>
      <c r="N339" s="95"/>
      <c r="O339" s="95"/>
      <c r="P339" s="95"/>
      <c r="Q339" s="95"/>
      <c r="R339" s="95"/>
      <c r="S339" s="95"/>
      <c r="T339" s="95"/>
      <c r="U339" s="95"/>
    </row>
    <row r="340" spans="1:21" x14ac:dyDescent="0.25">
      <c r="A340" s="95"/>
      <c r="B340" s="95"/>
      <c r="C340" s="95"/>
      <c r="D340" s="95"/>
      <c r="E340" s="95"/>
      <c r="F340" s="95"/>
      <c r="G340" s="95"/>
      <c r="H340" s="95"/>
      <c r="I340" s="95"/>
      <c r="J340" s="95"/>
      <c r="K340" s="95"/>
      <c r="L340" s="95"/>
      <c r="M340" s="95"/>
      <c r="N340" s="95"/>
      <c r="O340" s="95"/>
      <c r="P340" s="95"/>
      <c r="Q340" s="95"/>
      <c r="R340" s="95"/>
      <c r="S340" s="95"/>
      <c r="T340" s="95"/>
      <c r="U340" s="95"/>
    </row>
    <row r="341" spans="1:21" x14ac:dyDescent="0.25">
      <c r="A341" s="95"/>
      <c r="B341" s="95"/>
      <c r="C341" s="95"/>
      <c r="D341" s="95"/>
      <c r="E341" s="95"/>
      <c r="F341" s="95"/>
      <c r="G341" s="95"/>
      <c r="H341" s="95"/>
      <c r="I341" s="95"/>
      <c r="J341" s="95"/>
      <c r="K341" s="95"/>
      <c r="L341" s="95"/>
      <c r="M341" s="95"/>
      <c r="N341" s="95"/>
      <c r="O341" s="95"/>
      <c r="P341" s="95"/>
      <c r="Q341" s="95"/>
      <c r="R341" s="95"/>
      <c r="S341" s="95"/>
      <c r="T341" s="95"/>
      <c r="U341" s="95"/>
    </row>
    <row r="342" spans="1:21" x14ac:dyDescent="0.25">
      <c r="A342" s="95"/>
      <c r="B342" s="95"/>
      <c r="C342" s="95"/>
      <c r="D342" s="95"/>
      <c r="E342" s="95"/>
      <c r="F342" s="95"/>
      <c r="G342" s="95"/>
      <c r="H342" s="95"/>
      <c r="I342" s="95"/>
      <c r="J342" s="95"/>
      <c r="K342" s="95"/>
      <c r="L342" s="95"/>
      <c r="M342" s="95"/>
      <c r="N342" s="95"/>
      <c r="O342" s="95"/>
      <c r="P342" s="95"/>
      <c r="Q342" s="95"/>
      <c r="R342" s="95"/>
      <c r="S342" s="95"/>
      <c r="T342" s="95"/>
      <c r="U342" s="95"/>
    </row>
    <row r="343" spans="1:21" x14ac:dyDescent="0.25">
      <c r="A343" s="95"/>
      <c r="B343" s="95"/>
      <c r="C343" s="95"/>
      <c r="D343" s="95"/>
      <c r="E343" s="95"/>
      <c r="F343" s="95"/>
      <c r="G343" s="95"/>
      <c r="H343" s="95"/>
      <c r="I343" s="95"/>
      <c r="J343" s="95"/>
      <c r="K343" s="95"/>
      <c r="L343" s="95"/>
      <c r="M343" s="95"/>
      <c r="N343" s="95"/>
      <c r="O343" s="95"/>
      <c r="P343" s="95"/>
      <c r="Q343" s="95"/>
      <c r="R343" s="95"/>
      <c r="S343" s="95"/>
      <c r="T343" s="95"/>
      <c r="U343" s="95"/>
    </row>
    <row r="344" spans="1:21" x14ac:dyDescent="0.25">
      <c r="A344" s="95"/>
      <c r="B344" s="95"/>
      <c r="C344" s="95"/>
      <c r="D344" s="95"/>
      <c r="E344" s="95"/>
      <c r="F344" s="95"/>
      <c r="G344" s="95"/>
      <c r="H344" s="95"/>
      <c r="I344" s="95"/>
      <c r="J344" s="95"/>
      <c r="K344" s="95"/>
      <c r="L344" s="95"/>
      <c r="M344" s="95"/>
      <c r="N344" s="95"/>
      <c r="O344" s="95"/>
      <c r="P344" s="95"/>
      <c r="Q344" s="95"/>
      <c r="R344" s="95"/>
      <c r="S344" s="95"/>
      <c r="T344" s="95"/>
      <c r="U344" s="95"/>
    </row>
    <row r="345" spans="1:21" x14ac:dyDescent="0.25">
      <c r="A345" s="95"/>
      <c r="B345" s="95"/>
      <c r="C345" s="95"/>
      <c r="D345" s="95"/>
      <c r="E345" s="95"/>
      <c r="F345" s="95"/>
      <c r="G345" s="95"/>
      <c r="H345" s="95"/>
      <c r="I345" s="95"/>
      <c r="J345" s="95"/>
      <c r="K345" s="95"/>
      <c r="L345" s="95"/>
      <c r="M345" s="95"/>
      <c r="N345" s="95"/>
      <c r="O345" s="95"/>
      <c r="P345" s="95"/>
      <c r="Q345" s="95"/>
      <c r="R345" s="95"/>
      <c r="S345" s="95"/>
      <c r="T345" s="95"/>
      <c r="U345" s="95"/>
    </row>
    <row r="346" spans="1:21" x14ac:dyDescent="0.25">
      <c r="A346" s="95"/>
      <c r="B346" s="95"/>
      <c r="C346" s="95"/>
      <c r="D346" s="95"/>
      <c r="E346" s="95"/>
      <c r="F346" s="95"/>
      <c r="G346" s="95"/>
      <c r="H346" s="95"/>
      <c r="I346" s="95"/>
      <c r="J346" s="95"/>
      <c r="K346" s="95"/>
      <c r="L346" s="95"/>
      <c r="M346" s="95"/>
      <c r="N346" s="95"/>
      <c r="O346" s="95"/>
      <c r="P346" s="95"/>
      <c r="Q346" s="95"/>
      <c r="R346" s="95"/>
      <c r="S346" s="95"/>
      <c r="T346" s="95"/>
      <c r="U346" s="95"/>
    </row>
    <row r="347" spans="1:21" x14ac:dyDescent="0.25">
      <c r="A347" s="95"/>
      <c r="B347" s="95"/>
      <c r="C347" s="95"/>
      <c r="D347" s="95"/>
      <c r="E347" s="95"/>
      <c r="F347" s="95"/>
      <c r="G347" s="95"/>
      <c r="H347" s="95"/>
      <c r="I347" s="95"/>
      <c r="J347" s="95"/>
      <c r="K347" s="95"/>
      <c r="L347" s="95"/>
      <c r="M347" s="95"/>
      <c r="N347" s="95"/>
      <c r="O347" s="95"/>
      <c r="P347" s="95"/>
      <c r="Q347" s="95"/>
      <c r="R347" s="95"/>
      <c r="S347" s="95"/>
      <c r="T347" s="95"/>
      <c r="U347" s="95"/>
    </row>
    <row r="348" spans="1:21" x14ac:dyDescent="0.25">
      <c r="A348" s="95"/>
      <c r="B348" s="95"/>
      <c r="C348" s="95"/>
      <c r="D348" s="95"/>
      <c r="E348" s="95"/>
      <c r="F348" s="95"/>
      <c r="G348" s="95"/>
      <c r="H348" s="95"/>
      <c r="I348" s="95"/>
      <c r="J348" s="95"/>
      <c r="K348" s="95"/>
      <c r="L348" s="95"/>
      <c r="M348" s="95"/>
      <c r="N348" s="95"/>
      <c r="O348" s="95"/>
      <c r="P348" s="95"/>
      <c r="Q348" s="95"/>
      <c r="R348" s="95"/>
      <c r="S348" s="95"/>
      <c r="T348" s="95"/>
      <c r="U348" s="95"/>
    </row>
    <row r="349" spans="1:21" x14ac:dyDescent="0.25">
      <c r="A349" s="95"/>
      <c r="B349" s="95"/>
      <c r="C349" s="95"/>
      <c r="D349" s="95"/>
      <c r="E349" s="95"/>
      <c r="F349" s="95"/>
      <c r="G349" s="95"/>
      <c r="H349" s="95"/>
      <c r="I349" s="95"/>
      <c r="J349" s="95"/>
      <c r="K349" s="95"/>
      <c r="L349" s="95"/>
      <c r="M349" s="95"/>
      <c r="N349" s="95"/>
      <c r="O349" s="95"/>
      <c r="P349" s="95"/>
      <c r="Q349" s="95"/>
      <c r="R349" s="95"/>
      <c r="S349" s="95"/>
      <c r="T349" s="95"/>
      <c r="U349" s="95"/>
    </row>
    <row r="350" spans="1:21" x14ac:dyDescent="0.25">
      <c r="A350" s="95"/>
      <c r="B350" s="95"/>
      <c r="C350" s="95"/>
      <c r="D350" s="95"/>
      <c r="E350" s="95"/>
      <c r="F350" s="95"/>
      <c r="G350" s="95"/>
      <c r="H350" s="95"/>
      <c r="I350" s="95"/>
      <c r="J350" s="95"/>
      <c r="K350" s="95"/>
      <c r="L350" s="95"/>
      <c r="M350" s="95"/>
      <c r="N350" s="95"/>
      <c r="O350" s="95"/>
      <c r="P350" s="95"/>
      <c r="Q350" s="95"/>
      <c r="R350" s="95"/>
      <c r="S350" s="95"/>
      <c r="T350" s="95"/>
      <c r="U350" s="95"/>
    </row>
    <row r="351" spans="1:21" x14ac:dyDescent="0.25">
      <c r="A351" s="95"/>
      <c r="B351" s="95"/>
      <c r="C351" s="95"/>
      <c r="D351" s="95"/>
      <c r="E351" s="95"/>
      <c r="F351" s="95"/>
      <c r="G351" s="95"/>
      <c r="H351" s="95"/>
      <c r="I351" s="95"/>
      <c r="J351" s="95"/>
      <c r="K351" s="95"/>
      <c r="L351" s="95"/>
      <c r="M351" s="95"/>
      <c r="N351" s="95"/>
      <c r="O351" s="95"/>
      <c r="P351" s="95"/>
      <c r="Q351" s="95"/>
      <c r="R351" s="95"/>
      <c r="S351" s="95"/>
      <c r="T351" s="95"/>
      <c r="U351" s="95"/>
    </row>
    <row r="352" spans="1:21" x14ac:dyDescent="0.25">
      <c r="A352" s="95"/>
      <c r="B352" s="95"/>
      <c r="C352" s="95"/>
      <c r="D352" s="95"/>
      <c r="E352" s="95"/>
      <c r="F352" s="95"/>
      <c r="G352" s="95"/>
      <c r="H352" s="95"/>
      <c r="I352" s="95"/>
      <c r="J352" s="95"/>
      <c r="K352" s="95"/>
      <c r="L352" s="95"/>
      <c r="M352" s="95"/>
      <c r="N352" s="95"/>
      <c r="O352" s="95"/>
      <c r="P352" s="95"/>
      <c r="Q352" s="95"/>
      <c r="R352" s="95"/>
      <c r="S352" s="95"/>
      <c r="T352" s="95"/>
      <c r="U352" s="95"/>
    </row>
    <row r="353" spans="1:21" x14ac:dyDescent="0.25">
      <c r="A353" s="95"/>
      <c r="B353" s="95"/>
      <c r="C353" s="95"/>
      <c r="D353" s="95"/>
      <c r="E353" s="95"/>
      <c r="F353" s="95"/>
      <c r="G353" s="95"/>
      <c r="H353" s="95"/>
      <c r="I353" s="95"/>
      <c r="J353" s="95"/>
      <c r="K353" s="95"/>
      <c r="L353" s="95"/>
      <c r="M353" s="95"/>
      <c r="N353" s="95"/>
      <c r="O353" s="95"/>
      <c r="P353" s="95"/>
      <c r="Q353" s="95"/>
      <c r="R353" s="95"/>
      <c r="S353" s="95"/>
      <c r="T353" s="95"/>
      <c r="U353" s="95"/>
    </row>
    <row r="354" spans="1:21" x14ac:dyDescent="0.25">
      <c r="A354" s="95"/>
      <c r="B354" s="95"/>
      <c r="C354" s="95"/>
      <c r="D354" s="95"/>
      <c r="E354" s="95"/>
      <c r="F354" s="95"/>
      <c r="G354" s="95"/>
      <c r="H354" s="95"/>
      <c r="I354" s="95"/>
      <c r="J354" s="95"/>
      <c r="K354" s="95"/>
      <c r="L354" s="95"/>
      <c r="M354" s="95"/>
      <c r="N354" s="95"/>
      <c r="O354" s="95"/>
      <c r="P354" s="95"/>
      <c r="Q354" s="95"/>
      <c r="R354" s="95"/>
      <c r="S354" s="95"/>
      <c r="T354" s="95"/>
      <c r="U354" s="95"/>
    </row>
    <row r="355" spans="1:21" x14ac:dyDescent="0.25">
      <c r="A355" s="95"/>
      <c r="B355" s="95"/>
      <c r="C355" s="95"/>
      <c r="D355" s="95"/>
      <c r="E355" s="95"/>
      <c r="F355" s="95"/>
      <c r="G355" s="95"/>
      <c r="H355" s="95"/>
      <c r="I355" s="95"/>
      <c r="J355" s="95"/>
      <c r="K355" s="95"/>
      <c r="L355" s="95"/>
      <c r="M355" s="95"/>
      <c r="N355" s="95"/>
      <c r="O355" s="95"/>
      <c r="P355" s="95"/>
      <c r="Q355" s="95"/>
      <c r="R355" s="95"/>
      <c r="S355" s="95"/>
      <c r="T355" s="95"/>
      <c r="U355" s="95"/>
    </row>
    <row r="356" spans="1:21" x14ac:dyDescent="0.25">
      <c r="A356" s="95"/>
      <c r="B356" s="95"/>
      <c r="C356" s="95"/>
      <c r="D356" s="95"/>
      <c r="E356" s="95"/>
      <c r="F356" s="95"/>
      <c r="G356" s="95"/>
      <c r="H356" s="95"/>
      <c r="I356" s="95"/>
      <c r="J356" s="95"/>
      <c r="K356" s="95"/>
      <c r="L356" s="95"/>
      <c r="M356" s="95"/>
      <c r="N356" s="95"/>
      <c r="O356" s="95"/>
      <c r="P356" s="95"/>
      <c r="Q356" s="95"/>
      <c r="R356" s="95"/>
      <c r="S356" s="95"/>
      <c r="T356" s="95"/>
      <c r="U356" s="95"/>
    </row>
    <row r="357" spans="1:21" x14ac:dyDescent="0.25">
      <c r="A357" s="95"/>
      <c r="B357" s="95"/>
      <c r="C357" s="95"/>
      <c r="D357" s="95"/>
      <c r="E357" s="95"/>
      <c r="F357" s="95"/>
      <c r="G357" s="95"/>
      <c r="H357" s="95"/>
      <c r="I357" s="95"/>
      <c r="J357" s="95"/>
      <c r="K357" s="95"/>
      <c r="L357" s="95"/>
      <c r="M357" s="95"/>
      <c r="N357" s="95"/>
      <c r="O357" s="95"/>
      <c r="P357" s="95"/>
      <c r="Q357" s="95"/>
      <c r="R357" s="95"/>
      <c r="S357" s="95"/>
      <c r="T357" s="95"/>
      <c r="U357" s="95"/>
    </row>
    <row r="358" spans="1:21" x14ac:dyDescent="0.25">
      <c r="A358" s="95"/>
      <c r="B358" s="95"/>
      <c r="C358" s="95"/>
      <c r="D358" s="95"/>
      <c r="E358" s="95"/>
      <c r="F358" s="95"/>
      <c r="G358" s="95"/>
      <c r="H358" s="95"/>
      <c r="I358" s="95"/>
      <c r="J358" s="95"/>
      <c r="K358" s="95"/>
      <c r="L358" s="95"/>
      <c r="M358" s="95"/>
      <c r="N358" s="95"/>
      <c r="O358" s="95"/>
      <c r="P358" s="95"/>
      <c r="Q358" s="95"/>
      <c r="R358" s="95"/>
      <c r="S358" s="95"/>
      <c r="T358" s="95"/>
      <c r="U358" s="95"/>
    </row>
    <row r="359" spans="1:21" x14ac:dyDescent="0.25">
      <c r="A359" s="95"/>
      <c r="B359" s="95"/>
      <c r="C359" s="95"/>
      <c r="D359" s="95"/>
      <c r="E359" s="95"/>
      <c r="F359" s="95"/>
      <c r="G359" s="95"/>
      <c r="H359" s="95"/>
      <c r="I359" s="95"/>
      <c r="J359" s="95"/>
      <c r="K359" s="95"/>
      <c r="L359" s="95"/>
      <c r="M359" s="95"/>
      <c r="N359" s="95"/>
      <c r="O359" s="95"/>
      <c r="P359" s="95"/>
      <c r="Q359" s="95"/>
      <c r="R359" s="95"/>
      <c r="S359" s="95"/>
      <c r="T359" s="95"/>
      <c r="U359" s="95"/>
    </row>
    <row r="360" spans="1:21" x14ac:dyDescent="0.25">
      <c r="A360" s="95"/>
      <c r="B360" s="95"/>
      <c r="C360" s="95"/>
      <c r="D360" s="95"/>
      <c r="E360" s="95"/>
      <c r="F360" s="95"/>
      <c r="G360" s="95"/>
      <c r="H360" s="95"/>
      <c r="I360" s="95"/>
      <c r="J360" s="95"/>
      <c r="K360" s="95"/>
      <c r="L360" s="95"/>
      <c r="M360" s="95"/>
      <c r="N360" s="95"/>
      <c r="O360" s="95"/>
      <c r="P360" s="95"/>
      <c r="Q360" s="95"/>
      <c r="R360" s="95"/>
      <c r="S360" s="95"/>
      <c r="T360" s="95"/>
      <c r="U360" s="95"/>
    </row>
    <row r="361" spans="1:21" x14ac:dyDescent="0.25">
      <c r="A361" s="95"/>
      <c r="B361" s="95"/>
      <c r="C361" s="95"/>
      <c r="D361" s="95"/>
      <c r="E361" s="95"/>
      <c r="F361" s="95"/>
      <c r="G361" s="95"/>
      <c r="H361" s="95"/>
      <c r="I361" s="95"/>
      <c r="J361" s="95"/>
      <c r="K361" s="95"/>
      <c r="L361" s="95"/>
      <c r="M361" s="95"/>
      <c r="N361" s="95"/>
      <c r="O361" s="95"/>
      <c r="P361" s="95"/>
      <c r="Q361" s="95"/>
      <c r="R361" s="95"/>
      <c r="S361" s="95"/>
      <c r="T361" s="95"/>
      <c r="U361" s="95"/>
    </row>
    <row r="362" spans="1:21" x14ac:dyDescent="0.25">
      <c r="A362" s="95"/>
      <c r="B362" s="95"/>
      <c r="C362" s="95"/>
      <c r="D362" s="95"/>
      <c r="E362" s="95"/>
      <c r="F362" s="95"/>
      <c r="G362" s="95"/>
      <c r="H362" s="95"/>
      <c r="I362" s="95"/>
      <c r="J362" s="95"/>
      <c r="K362" s="95"/>
      <c r="L362" s="95"/>
      <c r="M362" s="95"/>
      <c r="N362" s="95"/>
      <c r="O362" s="95"/>
      <c r="P362" s="95"/>
      <c r="Q362" s="95"/>
      <c r="R362" s="95"/>
      <c r="S362" s="95"/>
      <c r="T362" s="95"/>
      <c r="U362" s="95"/>
    </row>
    <row r="363" spans="1:21" x14ac:dyDescent="0.25">
      <c r="A363" s="95"/>
      <c r="B363" s="95"/>
      <c r="C363" s="95"/>
      <c r="D363" s="95"/>
      <c r="E363" s="95"/>
      <c r="F363" s="95"/>
      <c r="G363" s="95"/>
      <c r="H363" s="95"/>
      <c r="I363" s="95"/>
      <c r="J363" s="95"/>
      <c r="K363" s="95"/>
      <c r="L363" s="95"/>
      <c r="M363" s="95"/>
      <c r="N363" s="95"/>
      <c r="O363" s="95"/>
      <c r="P363" s="95"/>
      <c r="Q363" s="95"/>
      <c r="R363" s="95"/>
      <c r="S363" s="95"/>
      <c r="T363" s="95"/>
      <c r="U363" s="95"/>
    </row>
    <row r="364" spans="1:21" x14ac:dyDescent="0.25">
      <c r="A364" s="95"/>
      <c r="B364" s="95"/>
      <c r="C364" s="95"/>
      <c r="D364" s="95"/>
      <c r="E364" s="95"/>
      <c r="F364" s="95"/>
      <c r="G364" s="95"/>
      <c r="H364" s="95"/>
      <c r="I364" s="95"/>
      <c r="J364" s="95"/>
      <c r="K364" s="95"/>
      <c r="L364" s="95"/>
      <c r="M364" s="95"/>
      <c r="N364" s="95"/>
      <c r="O364" s="95"/>
      <c r="P364" s="95"/>
      <c r="Q364" s="95"/>
      <c r="R364" s="95"/>
      <c r="S364" s="95"/>
      <c r="T364" s="95"/>
      <c r="U364" s="95"/>
    </row>
    <row r="365" spans="1:21" x14ac:dyDescent="0.25">
      <c r="A365" s="95"/>
      <c r="B365" s="95"/>
      <c r="C365" s="95"/>
      <c r="D365" s="95"/>
      <c r="E365" s="95"/>
      <c r="F365" s="95"/>
      <c r="G365" s="95"/>
      <c r="H365" s="95"/>
      <c r="I365" s="95"/>
      <c r="J365" s="95"/>
      <c r="K365" s="95"/>
      <c r="L365" s="95"/>
      <c r="M365" s="95"/>
      <c r="N365" s="95"/>
      <c r="O365" s="95"/>
      <c r="P365" s="95"/>
      <c r="Q365" s="95"/>
      <c r="R365" s="95"/>
      <c r="S365" s="95"/>
      <c r="T365" s="95"/>
      <c r="U365" s="95"/>
    </row>
    <row r="366" spans="1:21" x14ac:dyDescent="0.25">
      <c r="A366" s="95"/>
      <c r="B366" s="95"/>
      <c r="C366" s="95"/>
      <c r="D366" s="95"/>
      <c r="E366" s="95"/>
      <c r="F366" s="95"/>
      <c r="G366" s="95"/>
      <c r="H366" s="95"/>
      <c r="I366" s="95"/>
      <c r="J366" s="95"/>
      <c r="K366" s="95"/>
      <c r="L366" s="95"/>
      <c r="M366" s="95"/>
      <c r="N366" s="95"/>
      <c r="O366" s="95"/>
      <c r="P366" s="95"/>
      <c r="Q366" s="95"/>
      <c r="R366" s="95"/>
      <c r="S366" s="95"/>
      <c r="T366" s="95"/>
      <c r="U366" s="95"/>
    </row>
    <row r="367" spans="1:21" x14ac:dyDescent="0.25">
      <c r="A367" s="95"/>
      <c r="B367" s="95"/>
      <c r="C367" s="95"/>
      <c r="D367" s="95"/>
      <c r="E367" s="95"/>
      <c r="F367" s="95"/>
      <c r="G367" s="95"/>
      <c r="H367" s="95"/>
      <c r="I367" s="95"/>
      <c r="J367" s="95"/>
      <c r="K367" s="95"/>
      <c r="L367" s="95"/>
      <c r="M367" s="95"/>
      <c r="N367" s="95"/>
      <c r="O367" s="95"/>
      <c r="P367" s="95"/>
      <c r="Q367" s="95"/>
      <c r="R367" s="95"/>
      <c r="S367" s="95"/>
      <c r="T367" s="95"/>
      <c r="U367" s="95"/>
    </row>
    <row r="368" spans="1:21" x14ac:dyDescent="0.25">
      <c r="A368" s="95"/>
      <c r="B368" s="95"/>
      <c r="C368" s="95"/>
      <c r="D368" s="95"/>
      <c r="E368" s="95"/>
      <c r="F368" s="95"/>
      <c r="G368" s="95"/>
      <c r="H368" s="95"/>
      <c r="I368" s="95"/>
      <c r="J368" s="95"/>
      <c r="K368" s="95"/>
      <c r="L368" s="95"/>
      <c r="M368" s="95"/>
      <c r="N368" s="95"/>
      <c r="O368" s="95"/>
      <c r="P368" s="95"/>
      <c r="Q368" s="95"/>
      <c r="R368" s="95"/>
      <c r="S368" s="95"/>
      <c r="T368" s="95"/>
      <c r="U368" s="95"/>
    </row>
    <row r="369" spans="1:21" x14ac:dyDescent="0.25">
      <c r="A369" s="95"/>
      <c r="B369" s="95"/>
      <c r="C369" s="95"/>
      <c r="D369" s="95"/>
      <c r="E369" s="95"/>
      <c r="F369" s="95"/>
      <c r="G369" s="95"/>
      <c r="H369" s="95"/>
      <c r="I369" s="95"/>
      <c r="J369" s="95"/>
      <c r="K369" s="95"/>
      <c r="L369" s="95"/>
      <c r="M369" s="95"/>
      <c r="N369" s="95"/>
      <c r="O369" s="95"/>
      <c r="P369" s="95"/>
      <c r="Q369" s="95"/>
      <c r="R369" s="95"/>
      <c r="S369" s="95"/>
      <c r="T369" s="95"/>
      <c r="U369" s="95"/>
    </row>
    <row r="370" spans="1:21" x14ac:dyDescent="0.25">
      <c r="A370" s="95"/>
      <c r="B370" s="95"/>
      <c r="C370" s="95"/>
      <c r="D370" s="95"/>
      <c r="E370" s="95"/>
      <c r="F370" s="95"/>
      <c r="G370" s="95"/>
      <c r="H370" s="95"/>
      <c r="I370" s="95"/>
      <c r="J370" s="95"/>
      <c r="K370" s="95"/>
      <c r="L370" s="95"/>
      <c r="M370" s="95"/>
      <c r="N370" s="95"/>
      <c r="O370" s="95"/>
      <c r="P370" s="95"/>
      <c r="Q370" s="95"/>
      <c r="R370" s="95"/>
      <c r="S370" s="95"/>
      <c r="T370" s="95"/>
      <c r="U370" s="95"/>
    </row>
    <row r="371" spans="1:21" x14ac:dyDescent="0.25">
      <c r="A371" s="95"/>
      <c r="B371" s="95"/>
      <c r="C371" s="95"/>
      <c r="D371" s="95"/>
      <c r="E371" s="95"/>
      <c r="F371" s="95"/>
      <c r="G371" s="95"/>
      <c r="H371" s="95"/>
      <c r="I371" s="95"/>
      <c r="J371" s="95"/>
      <c r="K371" s="95"/>
      <c r="L371" s="95"/>
      <c r="M371" s="95"/>
      <c r="N371" s="95"/>
      <c r="O371" s="95"/>
      <c r="P371" s="95"/>
      <c r="Q371" s="95"/>
      <c r="R371" s="95"/>
      <c r="S371" s="95"/>
      <c r="T371" s="95"/>
      <c r="U371" s="95"/>
    </row>
    <row r="372" spans="1:21" x14ac:dyDescent="0.25">
      <c r="A372" s="95"/>
      <c r="B372" s="95"/>
      <c r="C372" s="95"/>
      <c r="D372" s="95"/>
      <c r="E372" s="95"/>
      <c r="F372" s="95"/>
      <c r="G372" s="95"/>
      <c r="H372" s="95"/>
      <c r="I372" s="95"/>
      <c r="J372" s="95"/>
      <c r="K372" s="95"/>
      <c r="L372" s="95"/>
      <c r="M372" s="95"/>
      <c r="N372" s="95"/>
      <c r="O372" s="95"/>
      <c r="P372" s="95"/>
      <c r="Q372" s="95"/>
      <c r="R372" s="95"/>
      <c r="S372" s="95"/>
      <c r="T372" s="95"/>
      <c r="U372" s="95"/>
    </row>
    <row r="373" spans="1:21" x14ac:dyDescent="0.25">
      <c r="A373" s="95"/>
      <c r="B373" s="95"/>
      <c r="C373" s="95"/>
      <c r="D373" s="95"/>
      <c r="E373" s="95"/>
      <c r="F373" s="95"/>
      <c r="G373" s="95"/>
      <c r="H373" s="95"/>
      <c r="I373" s="95"/>
      <c r="J373" s="95"/>
      <c r="K373" s="95"/>
      <c r="L373" s="95"/>
      <c r="M373" s="95"/>
      <c r="N373" s="95"/>
      <c r="O373" s="95"/>
      <c r="P373" s="95"/>
      <c r="Q373" s="95"/>
      <c r="R373" s="95"/>
      <c r="S373" s="95"/>
      <c r="T373" s="95"/>
      <c r="U373" s="95"/>
    </row>
    <row r="374" spans="1:21" x14ac:dyDescent="0.25">
      <c r="A374" s="95"/>
      <c r="B374" s="95"/>
      <c r="C374" s="95"/>
      <c r="D374" s="95"/>
      <c r="E374" s="95"/>
      <c r="F374" s="95"/>
      <c r="G374" s="95"/>
      <c r="H374" s="95"/>
      <c r="I374" s="95"/>
      <c r="J374" s="95"/>
      <c r="K374" s="95"/>
      <c r="L374" s="95"/>
      <c r="M374" s="95"/>
      <c r="N374" s="95"/>
      <c r="O374" s="95"/>
      <c r="P374" s="95"/>
      <c r="Q374" s="95"/>
      <c r="R374" s="95"/>
      <c r="S374" s="95"/>
      <c r="T374" s="95"/>
      <c r="U374" s="95"/>
    </row>
    <row r="375" spans="1:21" x14ac:dyDescent="0.25">
      <c r="A375" s="95"/>
      <c r="B375" s="95"/>
      <c r="C375" s="95"/>
      <c r="D375" s="95"/>
      <c r="E375" s="95"/>
      <c r="F375" s="95"/>
      <c r="G375" s="95"/>
      <c r="H375" s="95"/>
      <c r="I375" s="95"/>
      <c r="J375" s="95"/>
      <c r="K375" s="95"/>
      <c r="L375" s="95"/>
      <c r="M375" s="95"/>
      <c r="N375" s="95"/>
      <c r="O375" s="95"/>
      <c r="P375" s="95"/>
      <c r="Q375" s="95"/>
      <c r="R375" s="95"/>
      <c r="S375" s="95"/>
      <c r="T375" s="95"/>
      <c r="U375" s="95"/>
    </row>
    <row r="376" spans="1:21" x14ac:dyDescent="0.25">
      <c r="A376" s="95"/>
      <c r="B376" s="95"/>
      <c r="C376" s="95"/>
      <c r="D376" s="95"/>
      <c r="E376" s="95"/>
      <c r="F376" s="95"/>
      <c r="G376" s="95"/>
      <c r="H376" s="95"/>
      <c r="I376" s="95"/>
      <c r="J376" s="95"/>
      <c r="K376" s="95"/>
      <c r="L376" s="95"/>
      <c r="M376" s="95"/>
      <c r="N376" s="95"/>
      <c r="O376" s="95"/>
      <c r="P376" s="95"/>
      <c r="Q376" s="95"/>
      <c r="R376" s="95"/>
      <c r="S376" s="95"/>
      <c r="T376" s="95"/>
      <c r="U376" s="95"/>
    </row>
    <row r="377" spans="1:21" x14ac:dyDescent="0.25">
      <c r="A377" s="95"/>
      <c r="B377" s="95"/>
      <c r="C377" s="95"/>
      <c r="D377" s="95"/>
      <c r="E377" s="95"/>
      <c r="F377" s="95"/>
      <c r="G377" s="95"/>
      <c r="H377" s="95"/>
      <c r="I377" s="95"/>
      <c r="J377" s="95"/>
      <c r="K377" s="95"/>
      <c r="L377" s="95"/>
      <c r="M377" s="95"/>
      <c r="N377" s="95"/>
      <c r="O377" s="95"/>
      <c r="P377" s="95"/>
      <c r="Q377" s="95"/>
      <c r="R377" s="95"/>
      <c r="S377" s="95"/>
      <c r="T377" s="95"/>
      <c r="U377" s="95"/>
    </row>
    <row r="378" spans="1:21" x14ac:dyDescent="0.25">
      <c r="A378" s="95"/>
      <c r="B378" s="95"/>
      <c r="C378" s="95"/>
      <c r="D378" s="95"/>
      <c r="E378" s="95"/>
      <c r="F378" s="95"/>
      <c r="G378" s="95"/>
      <c r="H378" s="95"/>
      <c r="I378" s="95"/>
      <c r="J378" s="95"/>
      <c r="K378" s="95"/>
      <c r="L378" s="95"/>
      <c r="M378" s="95"/>
      <c r="N378" s="95"/>
      <c r="O378" s="95"/>
      <c r="P378" s="95"/>
      <c r="Q378" s="95"/>
      <c r="R378" s="95"/>
      <c r="S378" s="95"/>
      <c r="T378" s="95"/>
      <c r="U378" s="95"/>
    </row>
    <row r="379" spans="1:21" x14ac:dyDescent="0.25">
      <c r="A379" s="95"/>
      <c r="B379" s="95"/>
      <c r="C379" s="95"/>
      <c r="D379" s="95"/>
      <c r="E379" s="95"/>
      <c r="F379" s="95"/>
      <c r="G379" s="95"/>
      <c r="H379" s="95"/>
      <c r="I379" s="95"/>
      <c r="J379" s="95"/>
      <c r="K379" s="95"/>
      <c r="L379" s="95"/>
      <c r="M379" s="95"/>
      <c r="N379" s="95"/>
      <c r="O379" s="95"/>
      <c r="P379" s="95"/>
      <c r="Q379" s="95"/>
      <c r="R379" s="95"/>
      <c r="S379" s="95"/>
      <c r="T379" s="95"/>
      <c r="U379" s="95"/>
    </row>
    <row r="380" spans="1:21" x14ac:dyDescent="0.25">
      <c r="A380" s="95"/>
      <c r="B380" s="95"/>
      <c r="C380" s="95"/>
      <c r="D380" s="95"/>
      <c r="E380" s="95"/>
      <c r="F380" s="95"/>
      <c r="G380" s="95"/>
      <c r="H380" s="95"/>
      <c r="I380" s="95"/>
      <c r="J380" s="95"/>
      <c r="K380" s="95"/>
      <c r="L380" s="95"/>
      <c r="M380" s="95"/>
      <c r="N380" s="95"/>
      <c r="O380" s="95"/>
      <c r="P380" s="95"/>
      <c r="Q380" s="95"/>
      <c r="R380" s="95"/>
      <c r="S380" s="95"/>
      <c r="T380" s="95"/>
      <c r="U380" s="95"/>
    </row>
    <row r="381" spans="1:21" x14ac:dyDescent="0.25">
      <c r="A381" s="95"/>
      <c r="B381" s="95"/>
      <c r="C381" s="95"/>
      <c r="D381" s="95"/>
      <c r="E381" s="95"/>
      <c r="F381" s="95"/>
      <c r="G381" s="95"/>
      <c r="H381" s="95"/>
      <c r="I381" s="95"/>
      <c r="J381" s="95"/>
      <c r="K381" s="95"/>
      <c r="L381" s="95"/>
      <c r="M381" s="95"/>
      <c r="N381" s="95"/>
      <c r="O381" s="95"/>
      <c r="P381" s="95"/>
      <c r="Q381" s="95"/>
      <c r="R381" s="95"/>
      <c r="S381" s="95"/>
      <c r="T381" s="95"/>
      <c r="U381" s="95"/>
    </row>
    <row r="382" spans="1:21" x14ac:dyDescent="0.25">
      <c r="A382" s="95"/>
      <c r="B382" s="95"/>
      <c r="C382" s="95"/>
      <c r="D382" s="95"/>
      <c r="E382" s="95"/>
      <c r="F382" s="95"/>
      <c r="G382" s="95"/>
      <c r="H382" s="95"/>
      <c r="I382" s="95"/>
      <c r="J382" s="95"/>
      <c r="K382" s="95"/>
      <c r="L382" s="95"/>
      <c r="M382" s="95"/>
      <c r="N382" s="95"/>
      <c r="O382" s="95"/>
      <c r="P382" s="95"/>
      <c r="Q382" s="95"/>
      <c r="R382" s="95"/>
      <c r="S382" s="95"/>
      <c r="T382" s="95"/>
      <c r="U382" s="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87"/>
  <sheetViews>
    <sheetView view="pageBreakPreview" topLeftCell="A23" zoomScale="80" zoomScaleNormal="80" zoomScaleSheetLayoutView="80" workbookViewId="0">
      <selection activeCell="M26" sqref="M26"/>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40.140625" style="107" bestFit="1" customWidth="1"/>
    <col min="12" max="12" width="30.85546875" style="106" customWidth="1"/>
    <col min="13" max="13" width="27.140625" style="106" customWidth="1"/>
    <col min="14" max="14" width="32.42578125" style="106" customWidth="1"/>
    <col min="15" max="15" width="13.28515625" style="106" customWidth="1"/>
    <col min="16" max="16" width="11.7109375" style="106" customWidth="1"/>
    <col min="17" max="17" width="12.7109375" style="106" customWidth="1"/>
    <col min="18" max="18" width="9.140625" style="106"/>
    <col min="19" max="19" width="17" style="106" customWidth="1"/>
    <col min="20" max="21" width="12" style="106" customWidth="1"/>
    <col min="22" max="22" width="11" style="106" customWidth="1"/>
    <col min="23" max="24" width="17.7109375" style="106" customWidth="1"/>
    <col min="25" max="25" width="25" style="106" customWidth="1"/>
    <col min="26" max="26" width="46.5703125" style="106" customWidth="1"/>
    <col min="27" max="28" width="12.28515625" style="106" customWidth="1"/>
    <col min="29" max="16384" width="9.140625" style="106"/>
  </cols>
  <sheetData>
    <row r="1" spans="1:28" ht="18.75" x14ac:dyDescent="0.25">
      <c r="Z1" s="4" t="s">
        <v>65</v>
      </c>
    </row>
    <row r="2" spans="1:28" ht="18.75" x14ac:dyDescent="0.3">
      <c r="Z2" s="1" t="s">
        <v>7</v>
      </c>
    </row>
    <row r="3" spans="1:28" ht="18.75" x14ac:dyDescent="0.3">
      <c r="Z3" s="1" t="s">
        <v>64</v>
      </c>
    </row>
    <row r="4" spans="1:28" ht="18.75" customHeight="1" x14ac:dyDescent="0.25">
      <c r="A4" s="409" t="str">
        <f>'3.3 паспорт описание'!A5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71"/>
      <c r="AB6" s="71"/>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71"/>
      <c r="AB7" s="71"/>
    </row>
    <row r="8" spans="1:28" ht="15.75" x14ac:dyDescent="0.25">
      <c r="A8" s="414" t="str">
        <f>'3.3 паспорт описание'!A9:C9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73"/>
      <c r="AB8" s="73"/>
    </row>
    <row r="9" spans="1:28" ht="15.75" x14ac:dyDescent="0.25">
      <c r="A9" s="412" t="s">
        <v>5</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74"/>
      <c r="AB9" s="74"/>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71"/>
      <c r="AB10" s="71"/>
    </row>
    <row r="11" spans="1:28" ht="15.75" x14ac:dyDescent="0.25">
      <c r="A11" s="414" t="str">
        <f>'3.3 паспорт описание'!A12:C12</f>
        <v>L_19-1035</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73"/>
      <c r="AB11" s="73"/>
    </row>
    <row r="12" spans="1:28" ht="15.75" x14ac:dyDescent="0.25">
      <c r="A12" s="412" t="s">
        <v>4</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74"/>
      <c r="AB12" s="74"/>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08"/>
      <c r="AB13" s="108"/>
    </row>
    <row r="14" spans="1:28" ht="108.75" customHeight="1" x14ac:dyDescent="0.25">
      <c r="A14" s="448" t="str">
        <f>'3.3 паспорт описание'!A15:C15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73"/>
      <c r="AB14" s="73"/>
    </row>
    <row r="15" spans="1:28" ht="15.75" x14ac:dyDescent="0.25">
      <c r="A15" s="412" t="s">
        <v>3</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74"/>
      <c r="AB15" s="74"/>
    </row>
    <row r="16" spans="1:28"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109"/>
      <c r="AB16" s="109"/>
    </row>
    <row r="17" spans="1:2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109"/>
      <c r="AB17" s="109"/>
    </row>
    <row r="18" spans="1:28"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109"/>
      <c r="AB18" s="109"/>
    </row>
    <row r="19" spans="1:2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109"/>
      <c r="AB19" s="109"/>
    </row>
    <row r="20" spans="1:28"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110"/>
      <c r="AB20" s="110"/>
    </row>
    <row r="21" spans="1:28" x14ac:dyDescent="0.25">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110"/>
      <c r="AB21" s="110"/>
    </row>
    <row r="22" spans="1:28" x14ac:dyDescent="0.25">
      <c r="A22" s="474" t="s">
        <v>367</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11"/>
      <c r="AB22" s="111"/>
    </row>
    <row r="23" spans="1:28" ht="32.25" customHeight="1" x14ac:dyDescent="0.25">
      <c r="A23" s="476" t="s">
        <v>258</v>
      </c>
      <c r="B23" s="477"/>
      <c r="C23" s="477"/>
      <c r="D23" s="477"/>
      <c r="E23" s="477"/>
      <c r="F23" s="477"/>
      <c r="G23" s="477"/>
      <c r="H23" s="477"/>
      <c r="I23" s="477"/>
      <c r="J23" s="477"/>
      <c r="K23" s="477"/>
      <c r="L23" s="478"/>
      <c r="M23" s="475" t="s">
        <v>259</v>
      </c>
      <c r="N23" s="475"/>
      <c r="O23" s="475"/>
      <c r="P23" s="475"/>
      <c r="Q23" s="475"/>
      <c r="R23" s="475"/>
      <c r="S23" s="475"/>
      <c r="T23" s="475"/>
      <c r="U23" s="475"/>
      <c r="V23" s="475"/>
      <c r="W23" s="475"/>
      <c r="X23" s="475"/>
      <c r="Y23" s="475"/>
      <c r="Z23" s="475"/>
    </row>
    <row r="24" spans="1:28" ht="151.5" customHeight="1" x14ac:dyDescent="0.25">
      <c r="A24" s="112" t="s">
        <v>202</v>
      </c>
      <c r="B24" s="113" t="s">
        <v>208</v>
      </c>
      <c r="C24" s="112" t="s">
        <v>256</v>
      </c>
      <c r="D24" s="112" t="s">
        <v>203</v>
      </c>
      <c r="E24" s="112" t="s">
        <v>257</v>
      </c>
      <c r="F24" s="112" t="s">
        <v>516</v>
      </c>
      <c r="G24" s="112" t="s">
        <v>517</v>
      </c>
      <c r="H24" s="112" t="s">
        <v>204</v>
      </c>
      <c r="I24" s="112" t="s">
        <v>518</v>
      </c>
      <c r="J24" s="112" t="s">
        <v>209</v>
      </c>
      <c r="K24" s="113" t="s">
        <v>207</v>
      </c>
      <c r="L24" s="113" t="s">
        <v>205</v>
      </c>
      <c r="M24" s="114" t="s">
        <v>211</v>
      </c>
      <c r="N24" s="113" t="s">
        <v>519</v>
      </c>
      <c r="O24" s="112" t="s">
        <v>520</v>
      </c>
      <c r="P24" s="112" t="s">
        <v>521</v>
      </c>
      <c r="Q24" s="112" t="s">
        <v>522</v>
      </c>
      <c r="R24" s="112" t="s">
        <v>204</v>
      </c>
      <c r="S24" s="112" t="s">
        <v>523</v>
      </c>
      <c r="T24" s="112" t="s">
        <v>524</v>
      </c>
      <c r="U24" s="112" t="s">
        <v>525</v>
      </c>
      <c r="V24" s="112" t="s">
        <v>522</v>
      </c>
      <c r="W24" s="115" t="s">
        <v>526</v>
      </c>
      <c r="X24" s="115" t="s">
        <v>527</v>
      </c>
      <c r="Y24" s="115" t="s">
        <v>528</v>
      </c>
      <c r="Z24" s="116" t="s">
        <v>212</v>
      </c>
    </row>
    <row r="25" spans="1:28" ht="16.5" customHeight="1" x14ac:dyDescent="0.25">
      <c r="A25" s="112">
        <v>1</v>
      </c>
      <c r="B25" s="113">
        <v>2</v>
      </c>
      <c r="C25" s="112">
        <v>3</v>
      </c>
      <c r="D25" s="113">
        <v>4</v>
      </c>
      <c r="E25" s="112">
        <v>5</v>
      </c>
      <c r="F25" s="113">
        <v>6</v>
      </c>
      <c r="G25" s="112">
        <v>7</v>
      </c>
      <c r="H25" s="113">
        <v>8</v>
      </c>
      <c r="I25" s="112">
        <v>9</v>
      </c>
      <c r="J25" s="113">
        <v>10</v>
      </c>
      <c r="K25" s="117">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90" x14ac:dyDescent="0.25">
      <c r="A26" s="243"/>
      <c r="B26" s="244" t="s">
        <v>631</v>
      </c>
      <c r="C26" s="245">
        <f>SUM(C27:C31)</f>
        <v>29.230000000000004</v>
      </c>
      <c r="D26" s="246">
        <f>SUM(D27:D31)</f>
        <v>24</v>
      </c>
      <c r="E26" s="247"/>
      <c r="F26" s="246">
        <f>SUM(F27:F31)</f>
        <v>128.41</v>
      </c>
      <c r="G26" s="247"/>
      <c r="H26" s="248">
        <v>116189</v>
      </c>
      <c r="I26" s="249">
        <f t="shared" ref="I26:I31" si="0">F26/H26</f>
        <v>1.1051820740345471E-3</v>
      </c>
      <c r="J26" s="249">
        <f t="shared" ref="J26:J31" si="1">D26/H26</f>
        <v>2.0656000137706667E-4</v>
      </c>
      <c r="K26" s="250"/>
      <c r="L26" s="251"/>
      <c r="M26" s="251">
        <v>2024</v>
      </c>
      <c r="N26" s="243"/>
      <c r="O26" s="252">
        <f>F26*0.99</f>
        <v>127.1259</v>
      </c>
      <c r="P26" s="253">
        <f>C26*0.99</f>
        <v>28.937700000000003</v>
      </c>
      <c r="Q26" s="252">
        <f>I26*0.99</f>
        <v>1.0941302532942016E-3</v>
      </c>
      <c r="R26" s="254">
        <v>116189</v>
      </c>
      <c r="S26" s="252">
        <f>I26*0.99</f>
        <v>1.0941302532942016E-3</v>
      </c>
      <c r="T26" s="253">
        <f>J26*0.99</f>
        <v>2.04494401363296E-4</v>
      </c>
      <c r="U26" s="252"/>
      <c r="V26" s="253"/>
      <c r="W26" s="255">
        <f>S26-I26</f>
        <v>-1.1051820740345464E-5</v>
      </c>
      <c r="X26" s="255">
        <f>T26-J26</f>
        <v>-2.0656000137706714E-6</v>
      </c>
      <c r="Y26" s="272" t="s">
        <v>687</v>
      </c>
      <c r="Z26" s="256"/>
    </row>
    <row r="27" spans="1:28" ht="30" x14ac:dyDescent="0.25">
      <c r="A27" s="246">
        <v>2016</v>
      </c>
      <c r="B27" s="257" t="s">
        <v>632</v>
      </c>
      <c r="C27" s="258">
        <v>3.18</v>
      </c>
      <c r="D27" s="246">
        <v>1</v>
      </c>
      <c r="E27" s="247"/>
      <c r="F27" s="248">
        <f t="shared" ref="F27:F31" si="2">C27*D27</f>
        <v>3.18</v>
      </c>
      <c r="G27" s="247"/>
      <c r="H27" s="248">
        <v>99264</v>
      </c>
      <c r="I27" s="259">
        <f>D27/H27</f>
        <v>1.0074145712443585E-5</v>
      </c>
      <c r="J27" s="259">
        <f t="shared" si="1"/>
        <v>1.0074145712443585E-5</v>
      </c>
      <c r="K27" s="260" t="s">
        <v>633</v>
      </c>
      <c r="L27" s="243" t="s">
        <v>634</v>
      </c>
      <c r="M27" s="243"/>
      <c r="N27" s="243"/>
      <c r="O27" s="243"/>
      <c r="P27" s="243"/>
      <c r="Q27" s="243"/>
      <c r="R27" s="243"/>
      <c r="S27" s="243"/>
      <c r="T27" s="243"/>
      <c r="U27" s="243"/>
      <c r="V27" s="243"/>
      <c r="W27" s="243"/>
      <c r="X27" s="243"/>
      <c r="Y27" s="243"/>
      <c r="Z27" s="243"/>
    </row>
    <row r="28" spans="1:28" ht="30" x14ac:dyDescent="0.25">
      <c r="A28" s="246"/>
      <c r="B28" s="257" t="s">
        <v>635</v>
      </c>
      <c r="C28" s="258">
        <v>5.07</v>
      </c>
      <c r="D28" s="246">
        <v>9</v>
      </c>
      <c r="E28" s="247"/>
      <c r="F28" s="248">
        <f t="shared" si="2"/>
        <v>45.63</v>
      </c>
      <c r="G28" s="247"/>
      <c r="H28" s="248">
        <v>99264</v>
      </c>
      <c r="I28" s="259">
        <f t="shared" si="0"/>
        <v>4.5968326885880079E-4</v>
      </c>
      <c r="J28" s="259">
        <f t="shared" si="1"/>
        <v>9.0667311411992267E-5</v>
      </c>
      <c r="K28" s="260" t="s">
        <v>636</v>
      </c>
      <c r="L28" s="243" t="s">
        <v>634</v>
      </c>
      <c r="M28" s="243"/>
      <c r="N28" s="243"/>
      <c r="O28" s="243"/>
      <c r="P28" s="243"/>
      <c r="Q28" s="243"/>
      <c r="R28" s="243"/>
      <c r="S28" s="243"/>
      <c r="T28" s="243"/>
      <c r="U28" s="243"/>
      <c r="V28" s="243"/>
      <c r="W28" s="243"/>
      <c r="X28" s="243"/>
      <c r="Y28" s="243"/>
      <c r="Z28" s="243"/>
    </row>
    <row r="29" spans="1:28" ht="30" x14ac:dyDescent="0.25">
      <c r="A29" s="246"/>
      <c r="B29" s="257" t="s">
        <v>637</v>
      </c>
      <c r="C29" s="258">
        <v>11.38</v>
      </c>
      <c r="D29" s="246">
        <v>2</v>
      </c>
      <c r="E29" s="247"/>
      <c r="F29" s="248">
        <f t="shared" si="2"/>
        <v>22.76</v>
      </c>
      <c r="G29" s="247"/>
      <c r="H29" s="248">
        <v>99264</v>
      </c>
      <c r="I29" s="259">
        <f t="shared" si="0"/>
        <v>2.2928755641521601E-4</v>
      </c>
      <c r="J29" s="259">
        <f t="shared" si="1"/>
        <v>2.014829142488717E-5</v>
      </c>
      <c r="K29" s="260" t="s">
        <v>638</v>
      </c>
      <c r="L29" s="243" t="s">
        <v>634</v>
      </c>
      <c r="M29" s="243"/>
      <c r="N29" s="243"/>
      <c r="O29" s="243"/>
      <c r="P29" s="243"/>
      <c r="Q29" s="243"/>
      <c r="R29" s="243"/>
      <c r="S29" s="243"/>
      <c r="T29" s="243"/>
      <c r="U29" s="243"/>
      <c r="V29" s="243"/>
      <c r="W29" s="243"/>
      <c r="X29" s="243"/>
      <c r="Y29" s="243"/>
      <c r="Z29" s="243"/>
    </row>
    <row r="30" spans="1:28" ht="30" x14ac:dyDescent="0.25">
      <c r="A30" s="246">
        <v>2017</v>
      </c>
      <c r="B30" s="257" t="s">
        <v>639</v>
      </c>
      <c r="C30" s="258">
        <v>5.18</v>
      </c>
      <c r="D30" s="246">
        <v>5</v>
      </c>
      <c r="E30" s="247"/>
      <c r="F30" s="248">
        <f t="shared" si="2"/>
        <v>25.9</v>
      </c>
      <c r="G30" s="247"/>
      <c r="H30" s="248">
        <v>114940</v>
      </c>
      <c r="I30" s="259">
        <f t="shared" si="0"/>
        <v>2.2533495736906211E-4</v>
      </c>
      <c r="J30" s="259">
        <f t="shared" si="1"/>
        <v>4.3500957021054466E-5</v>
      </c>
      <c r="K30" s="260" t="s">
        <v>640</v>
      </c>
      <c r="L30" s="243" t="s">
        <v>634</v>
      </c>
      <c r="M30" s="243"/>
      <c r="N30" s="243"/>
      <c r="O30" s="243"/>
      <c r="P30" s="243"/>
      <c r="Q30" s="243"/>
      <c r="R30" s="243"/>
      <c r="S30" s="243"/>
      <c r="T30" s="243"/>
      <c r="U30" s="243"/>
      <c r="V30" s="243"/>
      <c r="W30" s="243"/>
      <c r="X30" s="243"/>
      <c r="Y30" s="243"/>
      <c r="Z30" s="243"/>
    </row>
    <row r="31" spans="1:28" ht="30" x14ac:dyDescent="0.25">
      <c r="A31" s="246">
        <v>2018</v>
      </c>
      <c r="B31" s="257" t="s">
        <v>641</v>
      </c>
      <c r="C31" s="258">
        <v>4.42</v>
      </c>
      <c r="D31" s="246">
        <v>7</v>
      </c>
      <c r="E31" s="247"/>
      <c r="F31" s="248">
        <f t="shared" si="2"/>
        <v>30.939999999999998</v>
      </c>
      <c r="G31" s="247"/>
      <c r="H31" s="248">
        <v>116190</v>
      </c>
      <c r="I31" s="259">
        <f t="shared" si="0"/>
        <v>2.6628797659006796E-4</v>
      </c>
      <c r="J31" s="259">
        <f t="shared" si="1"/>
        <v>6.0246148549789141E-5</v>
      </c>
      <c r="K31" s="260" t="s">
        <v>642</v>
      </c>
      <c r="L31" s="243" t="s">
        <v>634</v>
      </c>
      <c r="M31" s="243"/>
      <c r="N31" s="243"/>
      <c r="O31" s="243"/>
      <c r="P31" s="243"/>
      <c r="Q31" s="243"/>
      <c r="R31" s="243"/>
      <c r="S31" s="243"/>
      <c r="T31" s="243"/>
      <c r="U31" s="243"/>
      <c r="V31" s="243"/>
      <c r="W31" s="243"/>
      <c r="X31" s="243"/>
      <c r="Y31" s="243"/>
      <c r="Z31" s="243"/>
    </row>
    <row r="32" spans="1:28" x14ac:dyDescent="0.25">
      <c r="K32" s="106"/>
    </row>
    <row r="33" spans="11:11" x14ac:dyDescent="0.25">
      <c r="K33" s="106"/>
    </row>
    <row r="34" spans="11:11" x14ac:dyDescent="0.25">
      <c r="K34" s="106"/>
    </row>
    <row r="35" spans="11:11" x14ac:dyDescent="0.25">
      <c r="K35" s="106"/>
    </row>
    <row r="36" spans="11:11" x14ac:dyDescent="0.25">
      <c r="K36" s="106"/>
    </row>
    <row r="37" spans="11:11" x14ac:dyDescent="0.25">
      <c r="K37" s="106"/>
    </row>
    <row r="38" spans="11:11" x14ac:dyDescent="0.25">
      <c r="K38" s="106"/>
    </row>
    <row r="39" spans="11:11" x14ac:dyDescent="0.25">
      <c r="K39" s="106"/>
    </row>
    <row r="40" spans="11:11" x14ac:dyDescent="0.25">
      <c r="K40" s="106"/>
    </row>
    <row r="41" spans="11:11" x14ac:dyDescent="0.25">
      <c r="K41" s="106"/>
    </row>
    <row r="42" spans="11:11" x14ac:dyDescent="0.25">
      <c r="K42" s="106"/>
    </row>
    <row r="43" spans="11:11" x14ac:dyDescent="0.25">
      <c r="K43" s="106"/>
    </row>
    <row r="44" spans="11:11" x14ac:dyDescent="0.25">
      <c r="K44" s="106"/>
    </row>
    <row r="45" spans="11:11" x14ac:dyDescent="0.25">
      <c r="K45" s="106"/>
    </row>
    <row r="46" spans="11:11" x14ac:dyDescent="0.25">
      <c r="K46" s="106"/>
    </row>
    <row r="47" spans="11:11" x14ac:dyDescent="0.25">
      <c r="K47" s="106"/>
    </row>
    <row r="48" spans="11:11" x14ac:dyDescent="0.25">
      <c r="K48" s="106"/>
    </row>
    <row r="49" spans="11:11" x14ac:dyDescent="0.25">
      <c r="K49" s="106"/>
    </row>
    <row r="50" spans="11:11" x14ac:dyDescent="0.25">
      <c r="K50" s="106"/>
    </row>
    <row r="51" spans="11:11" x14ac:dyDescent="0.25">
      <c r="K51" s="106"/>
    </row>
    <row r="52" spans="11:11" x14ac:dyDescent="0.25">
      <c r="K52" s="106"/>
    </row>
    <row r="53" spans="11:11" x14ac:dyDescent="0.25">
      <c r="K53" s="106"/>
    </row>
    <row r="54" spans="11:11" x14ac:dyDescent="0.25">
      <c r="K54" s="106"/>
    </row>
    <row r="55" spans="11:11" x14ac:dyDescent="0.25">
      <c r="K55" s="106"/>
    </row>
    <row r="56" spans="11:11" x14ac:dyDescent="0.25">
      <c r="K56" s="106"/>
    </row>
    <row r="57" spans="11:11" x14ac:dyDescent="0.25">
      <c r="K57" s="106"/>
    </row>
    <row r="58" spans="11:11" x14ac:dyDescent="0.25">
      <c r="K58" s="106"/>
    </row>
    <row r="59" spans="11:11" x14ac:dyDescent="0.25">
      <c r="K59" s="106"/>
    </row>
    <row r="60" spans="11:11" x14ac:dyDescent="0.25">
      <c r="K60" s="106"/>
    </row>
    <row r="61" spans="11:11" x14ac:dyDescent="0.25">
      <c r="K61" s="106"/>
    </row>
    <row r="62" spans="11:11" x14ac:dyDescent="0.25">
      <c r="K62" s="106"/>
    </row>
    <row r="63" spans="11:11" x14ac:dyDescent="0.25">
      <c r="K63" s="106"/>
    </row>
    <row r="64" spans="11:11" x14ac:dyDescent="0.25">
      <c r="K64" s="106"/>
    </row>
    <row r="65" spans="11:11" x14ac:dyDescent="0.25">
      <c r="K65" s="106"/>
    </row>
    <row r="66" spans="11:11" x14ac:dyDescent="0.25">
      <c r="K66" s="106"/>
    </row>
    <row r="67" spans="11:11" x14ac:dyDescent="0.25">
      <c r="K67" s="106"/>
    </row>
    <row r="68" spans="11:11" x14ac:dyDescent="0.25">
      <c r="K68" s="106"/>
    </row>
    <row r="69" spans="11:11" x14ac:dyDescent="0.25">
      <c r="K69" s="106"/>
    </row>
    <row r="70" spans="11:11" x14ac:dyDescent="0.25">
      <c r="K70" s="106"/>
    </row>
    <row r="71" spans="11:11" x14ac:dyDescent="0.25">
      <c r="K71" s="106"/>
    </row>
    <row r="72" spans="11:11" x14ac:dyDescent="0.25">
      <c r="K72" s="106"/>
    </row>
    <row r="73" spans="11:11" x14ac:dyDescent="0.25">
      <c r="K73" s="106"/>
    </row>
    <row r="74" spans="11:11" x14ac:dyDescent="0.25">
      <c r="K74" s="106"/>
    </row>
    <row r="75" spans="11:11" x14ac:dyDescent="0.25">
      <c r="K75" s="106"/>
    </row>
    <row r="76" spans="11:11" x14ac:dyDescent="0.25">
      <c r="K76" s="106"/>
    </row>
    <row r="77" spans="11:11" x14ac:dyDescent="0.25">
      <c r="K77" s="106"/>
    </row>
    <row r="78" spans="11:11" x14ac:dyDescent="0.25">
      <c r="K78" s="106"/>
    </row>
    <row r="79" spans="11:11" x14ac:dyDescent="0.25">
      <c r="K79" s="106"/>
    </row>
    <row r="80" spans="11:11" x14ac:dyDescent="0.25">
      <c r="K80" s="106"/>
    </row>
    <row r="81" spans="11:11" x14ac:dyDescent="0.25">
      <c r="K81" s="106"/>
    </row>
    <row r="82" spans="11:11" x14ac:dyDescent="0.25">
      <c r="K82" s="106"/>
    </row>
    <row r="83" spans="11:11" x14ac:dyDescent="0.25">
      <c r="K83" s="106"/>
    </row>
    <row r="84" spans="11:11" x14ac:dyDescent="0.25">
      <c r="K84" s="106"/>
    </row>
    <row r="85" spans="11:11" x14ac:dyDescent="0.25">
      <c r="K85" s="106"/>
    </row>
    <row r="86" spans="11:11" x14ac:dyDescent="0.25">
      <c r="K86" s="106"/>
    </row>
    <row r="87" spans="11:11" x14ac:dyDescent="0.25">
      <c r="K87" s="106"/>
    </row>
  </sheetData>
  <autoFilter ref="A25:AB86"/>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294" customWidth="1"/>
    <col min="2" max="2" width="25.5703125" style="294" customWidth="1"/>
    <col min="3" max="3" width="71.28515625" style="294" customWidth="1"/>
    <col min="4" max="4" width="16.140625" style="294" customWidth="1"/>
    <col min="5" max="5" width="9.42578125" style="294" customWidth="1"/>
    <col min="6" max="6" width="8.7109375" style="294" customWidth="1"/>
    <col min="7" max="7" width="9" style="294" customWidth="1"/>
    <col min="8" max="8" width="8.42578125" style="294" customWidth="1"/>
    <col min="9" max="9" width="33.85546875" style="294" customWidth="1"/>
    <col min="10" max="13" width="19.85546875" style="294" customWidth="1"/>
    <col min="14" max="16384" width="9.140625" style="294"/>
  </cols>
  <sheetData>
    <row r="1" spans="1:26" s="273" customFormat="1" ht="18.75" customHeight="1" x14ac:dyDescent="0.2">
      <c r="A1" s="2"/>
      <c r="B1" s="2"/>
      <c r="M1" s="4" t="s">
        <v>65</v>
      </c>
    </row>
    <row r="2" spans="1:26" s="273" customFormat="1" ht="18.75" customHeight="1" x14ac:dyDescent="0.3">
      <c r="A2" s="2"/>
      <c r="B2" s="2"/>
      <c r="M2" s="1" t="s">
        <v>7</v>
      </c>
    </row>
    <row r="3" spans="1:26" s="273" customFormat="1" ht="18.75" x14ac:dyDescent="0.3">
      <c r="A3" s="274"/>
      <c r="B3" s="274"/>
      <c r="M3" s="1" t="s">
        <v>64</v>
      </c>
    </row>
    <row r="4" spans="1:26" s="273" customFormat="1" ht="18.75" x14ac:dyDescent="0.3">
      <c r="A4" s="274"/>
      <c r="B4" s="274"/>
      <c r="L4" s="1"/>
    </row>
    <row r="5" spans="1:26" s="273" customFormat="1" ht="15.75" x14ac:dyDescent="0.2">
      <c r="A5" s="409" t="str">
        <f>'1. паспорт местоположение'!A5:C5</f>
        <v>Год раскрытия информации: 2023 год</v>
      </c>
      <c r="B5" s="409"/>
      <c r="C5" s="409"/>
      <c r="D5" s="409"/>
      <c r="E5" s="409"/>
      <c r="F5" s="409"/>
      <c r="G5" s="409"/>
      <c r="H5" s="409"/>
      <c r="I5" s="409"/>
      <c r="J5" s="409"/>
      <c r="K5" s="409"/>
      <c r="L5" s="409"/>
      <c r="M5" s="409"/>
      <c r="N5" s="44"/>
      <c r="O5" s="44"/>
      <c r="P5" s="44"/>
      <c r="Q5" s="44"/>
      <c r="R5" s="44"/>
      <c r="S5" s="44"/>
      <c r="T5" s="44"/>
      <c r="U5" s="44"/>
      <c r="V5" s="44"/>
      <c r="W5" s="44"/>
      <c r="X5" s="44"/>
      <c r="Y5" s="44"/>
      <c r="Z5" s="44"/>
    </row>
    <row r="6" spans="1:26" s="273" customFormat="1" ht="18.75" x14ac:dyDescent="0.3">
      <c r="A6" s="274"/>
      <c r="B6" s="274"/>
      <c r="L6" s="1"/>
    </row>
    <row r="7" spans="1:26" s="273" customFormat="1" ht="18.75" x14ac:dyDescent="0.2">
      <c r="A7" s="480" t="s">
        <v>6</v>
      </c>
      <c r="B7" s="480"/>
      <c r="C7" s="480"/>
      <c r="D7" s="480"/>
      <c r="E7" s="480"/>
      <c r="F7" s="480"/>
      <c r="G7" s="480"/>
      <c r="H7" s="480"/>
      <c r="I7" s="480"/>
      <c r="J7" s="480"/>
      <c r="K7" s="480"/>
      <c r="L7" s="480"/>
      <c r="M7" s="480"/>
      <c r="N7" s="275"/>
      <c r="O7" s="275"/>
      <c r="P7" s="275"/>
      <c r="Q7" s="275"/>
      <c r="R7" s="275"/>
      <c r="S7" s="275"/>
      <c r="T7" s="275"/>
      <c r="U7" s="275"/>
      <c r="V7" s="275"/>
      <c r="W7" s="275"/>
      <c r="X7" s="275"/>
    </row>
    <row r="8" spans="1:26" s="273" customFormat="1" ht="18.75" x14ac:dyDescent="0.2">
      <c r="A8" s="480"/>
      <c r="B8" s="480"/>
      <c r="C8" s="480"/>
      <c r="D8" s="480"/>
      <c r="E8" s="480"/>
      <c r="F8" s="480"/>
      <c r="G8" s="480"/>
      <c r="H8" s="480"/>
      <c r="I8" s="480"/>
      <c r="J8" s="480"/>
      <c r="K8" s="480"/>
      <c r="L8" s="480"/>
      <c r="M8" s="480"/>
      <c r="N8" s="275"/>
      <c r="O8" s="275"/>
      <c r="P8" s="275"/>
      <c r="Q8" s="275"/>
      <c r="R8" s="275"/>
      <c r="S8" s="275"/>
      <c r="T8" s="275"/>
      <c r="U8" s="275"/>
      <c r="V8" s="275"/>
      <c r="W8" s="275"/>
      <c r="X8" s="275"/>
    </row>
    <row r="9" spans="1:26" s="273" customFormat="1" ht="18.75" x14ac:dyDescent="0.2">
      <c r="A9" s="485" t="str">
        <f>'1. паспорт местоположение'!A9:C9</f>
        <v>Акционерное общество "Россети Янтарь"</v>
      </c>
      <c r="B9" s="485"/>
      <c r="C9" s="485"/>
      <c r="D9" s="485"/>
      <c r="E9" s="485"/>
      <c r="F9" s="485"/>
      <c r="G9" s="485"/>
      <c r="H9" s="485"/>
      <c r="I9" s="485"/>
      <c r="J9" s="485"/>
      <c r="K9" s="485"/>
      <c r="L9" s="485"/>
      <c r="M9" s="485"/>
      <c r="N9" s="275"/>
      <c r="O9" s="275"/>
      <c r="P9" s="275"/>
      <c r="Q9" s="275"/>
      <c r="R9" s="275"/>
      <c r="S9" s="275"/>
      <c r="T9" s="275"/>
      <c r="U9" s="275"/>
      <c r="V9" s="275"/>
      <c r="W9" s="275"/>
      <c r="X9" s="275"/>
    </row>
    <row r="10" spans="1:26" s="273" customFormat="1" ht="18.75" x14ac:dyDescent="0.2">
      <c r="A10" s="486" t="s">
        <v>5</v>
      </c>
      <c r="B10" s="486"/>
      <c r="C10" s="486"/>
      <c r="D10" s="486"/>
      <c r="E10" s="486"/>
      <c r="F10" s="486"/>
      <c r="G10" s="486"/>
      <c r="H10" s="486"/>
      <c r="I10" s="486"/>
      <c r="J10" s="486"/>
      <c r="K10" s="486"/>
      <c r="L10" s="486"/>
      <c r="M10" s="486"/>
      <c r="N10" s="275"/>
      <c r="O10" s="275"/>
      <c r="P10" s="275"/>
      <c r="Q10" s="275"/>
      <c r="R10" s="275"/>
      <c r="S10" s="275"/>
      <c r="T10" s="275"/>
      <c r="U10" s="275"/>
      <c r="V10" s="275"/>
      <c r="W10" s="275"/>
      <c r="X10" s="275"/>
    </row>
    <row r="11" spans="1:26" s="273" customFormat="1" ht="18.75" x14ac:dyDescent="0.2">
      <c r="A11" s="480"/>
      <c r="B11" s="480"/>
      <c r="C11" s="480"/>
      <c r="D11" s="480"/>
      <c r="E11" s="480"/>
      <c r="F11" s="480"/>
      <c r="G11" s="480"/>
      <c r="H11" s="480"/>
      <c r="I11" s="480"/>
      <c r="J11" s="480"/>
      <c r="K11" s="480"/>
      <c r="L11" s="480"/>
      <c r="M11" s="480"/>
      <c r="N11" s="275"/>
      <c r="O11" s="275"/>
      <c r="P11" s="275"/>
      <c r="Q11" s="275"/>
      <c r="R11" s="275"/>
      <c r="S11" s="275"/>
      <c r="T11" s="275"/>
      <c r="U11" s="275"/>
      <c r="V11" s="275"/>
      <c r="W11" s="275"/>
      <c r="X11" s="275"/>
    </row>
    <row r="12" spans="1:26" s="273" customFormat="1" ht="18.75" x14ac:dyDescent="0.2">
      <c r="A12" s="485" t="str">
        <f>'1. паспорт местоположение'!A12:C12</f>
        <v>L_19-1035</v>
      </c>
      <c r="B12" s="485"/>
      <c r="C12" s="485"/>
      <c r="D12" s="485"/>
      <c r="E12" s="485"/>
      <c r="F12" s="485"/>
      <c r="G12" s="485"/>
      <c r="H12" s="485"/>
      <c r="I12" s="485"/>
      <c r="J12" s="485"/>
      <c r="K12" s="485"/>
      <c r="L12" s="485"/>
      <c r="M12" s="485"/>
      <c r="N12" s="275"/>
      <c r="O12" s="275"/>
      <c r="P12" s="275"/>
      <c r="Q12" s="275"/>
      <c r="R12" s="275"/>
      <c r="S12" s="275"/>
      <c r="T12" s="275"/>
      <c r="U12" s="275"/>
      <c r="V12" s="275"/>
      <c r="W12" s="275"/>
      <c r="X12" s="275"/>
    </row>
    <row r="13" spans="1:26" s="273" customFormat="1" ht="18.75" x14ac:dyDescent="0.2">
      <c r="A13" s="486" t="s">
        <v>4</v>
      </c>
      <c r="B13" s="486"/>
      <c r="C13" s="486"/>
      <c r="D13" s="486"/>
      <c r="E13" s="486"/>
      <c r="F13" s="486"/>
      <c r="G13" s="486"/>
      <c r="H13" s="486"/>
      <c r="I13" s="486"/>
      <c r="J13" s="486"/>
      <c r="K13" s="486"/>
      <c r="L13" s="486"/>
      <c r="M13" s="486"/>
      <c r="N13" s="275"/>
      <c r="O13" s="275"/>
      <c r="P13" s="275"/>
      <c r="Q13" s="275"/>
      <c r="R13" s="275"/>
      <c r="S13" s="275"/>
      <c r="T13" s="275"/>
      <c r="U13" s="275"/>
      <c r="V13" s="275"/>
      <c r="W13" s="275"/>
      <c r="X13" s="275"/>
    </row>
    <row r="14" spans="1:26" s="277" customFormat="1" ht="15.75" customHeight="1" x14ac:dyDescent="0.2">
      <c r="A14" s="481"/>
      <c r="B14" s="481"/>
      <c r="C14" s="481"/>
      <c r="D14" s="481"/>
      <c r="E14" s="481"/>
      <c r="F14" s="481"/>
      <c r="G14" s="481"/>
      <c r="H14" s="481"/>
      <c r="I14" s="481"/>
      <c r="J14" s="481"/>
      <c r="K14" s="481"/>
      <c r="L14" s="481"/>
      <c r="M14" s="481"/>
      <c r="N14" s="276"/>
      <c r="O14" s="276"/>
      <c r="P14" s="276"/>
      <c r="Q14" s="276"/>
      <c r="R14" s="276"/>
      <c r="S14" s="276"/>
      <c r="T14" s="276"/>
      <c r="U14" s="276"/>
      <c r="V14" s="276"/>
      <c r="W14" s="276"/>
      <c r="X14" s="276"/>
    </row>
    <row r="15" spans="1:26" s="279" customFormat="1" ht="39.75" customHeight="1" x14ac:dyDescent="0.2">
      <c r="A15" s="482" t="str">
        <f>'1. паспорт местоположение'!A15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83"/>
      <c r="C15" s="483"/>
      <c r="D15" s="483"/>
      <c r="E15" s="483"/>
      <c r="F15" s="483"/>
      <c r="G15" s="483"/>
      <c r="H15" s="483"/>
      <c r="I15" s="483"/>
      <c r="J15" s="483"/>
      <c r="K15" s="483"/>
      <c r="L15" s="483"/>
      <c r="M15" s="483"/>
      <c r="N15" s="278"/>
      <c r="O15" s="278"/>
      <c r="P15" s="278"/>
      <c r="Q15" s="278"/>
      <c r="R15" s="278"/>
      <c r="S15" s="278"/>
      <c r="T15" s="278"/>
      <c r="U15" s="278"/>
      <c r="V15" s="278"/>
      <c r="W15" s="278"/>
      <c r="X15" s="278"/>
    </row>
    <row r="16" spans="1:26" s="279" customFormat="1" ht="15" customHeight="1" x14ac:dyDescent="0.2">
      <c r="A16" s="486" t="s">
        <v>3</v>
      </c>
      <c r="B16" s="486"/>
      <c r="C16" s="486"/>
      <c r="D16" s="486"/>
      <c r="E16" s="486"/>
      <c r="F16" s="486"/>
      <c r="G16" s="486"/>
      <c r="H16" s="486"/>
      <c r="I16" s="486"/>
      <c r="J16" s="486"/>
      <c r="K16" s="486"/>
      <c r="L16" s="486"/>
      <c r="M16" s="486"/>
      <c r="N16" s="280"/>
      <c r="O16" s="280"/>
      <c r="P16" s="280"/>
      <c r="Q16" s="280"/>
      <c r="R16" s="280"/>
      <c r="S16" s="280"/>
      <c r="T16" s="280"/>
      <c r="U16" s="280"/>
      <c r="V16" s="280"/>
      <c r="W16" s="280"/>
      <c r="X16" s="280"/>
    </row>
    <row r="17" spans="1:24" s="279" customFormat="1" ht="15" customHeight="1" x14ac:dyDescent="0.2">
      <c r="A17" s="490"/>
      <c r="B17" s="490"/>
      <c r="C17" s="490"/>
      <c r="D17" s="490"/>
      <c r="E17" s="490"/>
      <c r="F17" s="490"/>
      <c r="G17" s="490"/>
      <c r="H17" s="490"/>
      <c r="I17" s="490"/>
      <c r="J17" s="490"/>
      <c r="K17" s="490"/>
      <c r="L17" s="490"/>
      <c r="M17" s="490"/>
      <c r="N17" s="281"/>
      <c r="O17" s="281"/>
      <c r="P17" s="281"/>
      <c r="Q17" s="281"/>
      <c r="R17" s="281"/>
      <c r="S17" s="281"/>
      <c r="T17" s="281"/>
      <c r="U17" s="281"/>
    </row>
    <row r="18" spans="1:24" s="279" customFormat="1" ht="91.5" customHeight="1" x14ac:dyDescent="0.2">
      <c r="A18" s="491" t="s">
        <v>345</v>
      </c>
      <c r="B18" s="491"/>
      <c r="C18" s="491"/>
      <c r="D18" s="491"/>
      <c r="E18" s="491"/>
      <c r="F18" s="491"/>
      <c r="G18" s="491"/>
      <c r="H18" s="491"/>
      <c r="I18" s="491"/>
      <c r="J18" s="491"/>
      <c r="K18" s="491"/>
      <c r="L18" s="491"/>
      <c r="M18" s="491"/>
      <c r="N18" s="282"/>
      <c r="O18" s="282"/>
      <c r="P18" s="282"/>
      <c r="Q18" s="282"/>
      <c r="R18" s="282"/>
      <c r="S18" s="282"/>
      <c r="T18" s="282"/>
      <c r="U18" s="282"/>
      <c r="V18" s="282"/>
      <c r="W18" s="282"/>
      <c r="X18" s="282"/>
    </row>
    <row r="19" spans="1:24" s="279" customFormat="1" ht="78" customHeight="1" x14ac:dyDescent="0.2">
      <c r="A19" s="484" t="s">
        <v>2</v>
      </c>
      <c r="B19" s="484" t="s">
        <v>81</v>
      </c>
      <c r="C19" s="484" t="s">
        <v>80</v>
      </c>
      <c r="D19" s="484" t="s">
        <v>72</v>
      </c>
      <c r="E19" s="487" t="s">
        <v>79</v>
      </c>
      <c r="F19" s="488"/>
      <c r="G19" s="488"/>
      <c r="H19" s="488"/>
      <c r="I19" s="489"/>
      <c r="J19" s="484" t="s">
        <v>78</v>
      </c>
      <c r="K19" s="484"/>
      <c r="L19" s="484"/>
      <c r="M19" s="484"/>
      <c r="N19" s="281"/>
      <c r="O19" s="281"/>
      <c r="P19" s="281"/>
      <c r="Q19" s="281"/>
      <c r="R19" s="281"/>
      <c r="S19" s="281"/>
      <c r="T19" s="281"/>
      <c r="U19" s="281"/>
    </row>
    <row r="20" spans="1:24" s="279" customFormat="1" ht="51" customHeight="1" x14ac:dyDescent="0.2">
      <c r="A20" s="484"/>
      <c r="B20" s="484"/>
      <c r="C20" s="484"/>
      <c r="D20" s="484"/>
      <c r="E20" s="283" t="s">
        <v>77</v>
      </c>
      <c r="F20" s="283" t="s">
        <v>76</v>
      </c>
      <c r="G20" s="283" t="s">
        <v>75</v>
      </c>
      <c r="H20" s="283" t="s">
        <v>74</v>
      </c>
      <c r="I20" s="283" t="s">
        <v>73</v>
      </c>
      <c r="J20" s="283">
        <v>2020</v>
      </c>
      <c r="K20" s="283">
        <v>2021</v>
      </c>
      <c r="L20" s="283">
        <v>2022</v>
      </c>
      <c r="M20" s="283">
        <v>2023</v>
      </c>
      <c r="N20" s="284"/>
      <c r="O20" s="284"/>
      <c r="P20" s="284"/>
      <c r="Q20" s="284"/>
      <c r="R20" s="284"/>
      <c r="S20" s="284"/>
      <c r="T20" s="284"/>
      <c r="U20" s="284"/>
      <c r="V20" s="285"/>
      <c r="W20" s="285"/>
      <c r="X20" s="285"/>
    </row>
    <row r="21" spans="1:24" s="279" customFormat="1" ht="16.5" customHeight="1" x14ac:dyDescent="0.2">
      <c r="A21" s="286">
        <v>1</v>
      </c>
      <c r="B21" s="287">
        <v>2</v>
      </c>
      <c r="C21" s="286">
        <v>3</v>
      </c>
      <c r="D21" s="287">
        <v>4</v>
      </c>
      <c r="E21" s="286">
        <v>5</v>
      </c>
      <c r="F21" s="287">
        <v>6</v>
      </c>
      <c r="G21" s="286">
        <v>7</v>
      </c>
      <c r="H21" s="287">
        <v>8</v>
      </c>
      <c r="I21" s="286">
        <v>9</v>
      </c>
      <c r="J21" s="287">
        <v>10</v>
      </c>
      <c r="K21" s="286">
        <v>11</v>
      </c>
      <c r="L21" s="287">
        <v>12</v>
      </c>
      <c r="M21" s="286">
        <v>13</v>
      </c>
      <c r="N21" s="284"/>
      <c r="O21" s="284"/>
      <c r="P21" s="284"/>
      <c r="Q21" s="284"/>
      <c r="R21" s="284"/>
      <c r="S21" s="284"/>
      <c r="T21" s="284"/>
      <c r="U21" s="284"/>
      <c r="V21" s="285"/>
      <c r="W21" s="285"/>
      <c r="X21" s="285"/>
    </row>
    <row r="22" spans="1:24" s="279" customFormat="1" ht="33" customHeight="1" x14ac:dyDescent="0.2">
      <c r="A22" s="288" t="s">
        <v>61</v>
      </c>
      <c r="B22" s="289" t="s">
        <v>880</v>
      </c>
      <c r="C22" s="290">
        <v>0</v>
      </c>
      <c r="D22" s="290">
        <v>0</v>
      </c>
      <c r="E22" s="290">
        <v>0</v>
      </c>
      <c r="F22" s="290">
        <v>0</v>
      </c>
      <c r="G22" s="290">
        <v>0</v>
      </c>
      <c r="H22" s="290">
        <v>0</v>
      </c>
      <c r="I22" s="290">
        <v>0</v>
      </c>
      <c r="J22" s="291">
        <v>0</v>
      </c>
      <c r="K22" s="291">
        <v>0</v>
      </c>
      <c r="L22" s="292">
        <v>0</v>
      </c>
      <c r="M22" s="292">
        <v>0</v>
      </c>
      <c r="N22" s="284"/>
      <c r="O22" s="284"/>
      <c r="P22" s="284"/>
      <c r="Q22" s="284"/>
      <c r="R22" s="284"/>
      <c r="S22" s="284"/>
      <c r="T22" s="285"/>
      <c r="U22" s="285"/>
      <c r="V22" s="285"/>
      <c r="W22" s="285"/>
      <c r="X22" s="285"/>
    </row>
    <row r="23" spans="1:24" x14ac:dyDescent="0.25">
      <c r="A23" s="293"/>
      <c r="B23" s="293"/>
      <c r="C23" s="293"/>
      <c r="D23" s="293"/>
      <c r="E23" s="293"/>
      <c r="F23" s="293"/>
      <c r="G23" s="293"/>
      <c r="H23" s="293"/>
      <c r="I23" s="293"/>
      <c r="J23" s="293"/>
      <c r="K23" s="293"/>
      <c r="L23" s="293"/>
      <c r="M23" s="293"/>
      <c r="N23" s="293"/>
      <c r="O23" s="293"/>
      <c r="P23" s="293"/>
      <c r="Q23" s="293"/>
      <c r="R23" s="293"/>
      <c r="S23" s="293"/>
      <c r="T23" s="293"/>
      <c r="U23" s="293"/>
      <c r="V23" s="293"/>
      <c r="W23" s="293"/>
      <c r="X23" s="293"/>
    </row>
    <row r="24" spans="1:24" x14ac:dyDescent="0.25">
      <c r="A24" s="293"/>
      <c r="B24" s="293"/>
      <c r="C24" s="293"/>
      <c r="D24" s="293"/>
      <c r="E24" s="293"/>
      <c r="F24" s="293"/>
      <c r="G24" s="293"/>
      <c r="H24" s="293"/>
      <c r="I24" s="293"/>
      <c r="J24" s="293"/>
      <c r="K24" s="293"/>
      <c r="L24" s="293"/>
      <c r="M24" s="293"/>
      <c r="N24" s="293"/>
      <c r="O24" s="293"/>
      <c r="P24" s="293"/>
      <c r="Q24" s="293"/>
      <c r="R24" s="293"/>
      <c r="S24" s="293"/>
      <c r="T24" s="293"/>
      <c r="U24" s="293"/>
      <c r="V24" s="293"/>
      <c r="W24" s="293"/>
      <c r="X24" s="293"/>
    </row>
    <row r="25" spans="1:24" x14ac:dyDescent="0.25">
      <c r="A25" s="293"/>
      <c r="B25" s="293"/>
      <c r="C25" s="293"/>
      <c r="D25" s="293"/>
      <c r="E25" s="293"/>
      <c r="F25" s="293"/>
      <c r="G25" s="293"/>
      <c r="H25" s="293"/>
      <c r="I25" s="293"/>
      <c r="J25" s="293"/>
      <c r="K25" s="293"/>
      <c r="L25" s="293"/>
      <c r="M25" s="293"/>
      <c r="N25" s="293"/>
      <c r="O25" s="293"/>
      <c r="P25" s="293"/>
      <c r="Q25" s="293"/>
      <c r="R25" s="293"/>
      <c r="S25" s="293"/>
      <c r="T25" s="293"/>
      <c r="U25" s="293"/>
      <c r="V25" s="293"/>
      <c r="W25" s="293"/>
      <c r="X25" s="293"/>
    </row>
    <row r="26" spans="1:24" x14ac:dyDescent="0.25">
      <c r="A26" s="293"/>
      <c r="B26" s="293"/>
      <c r="C26" s="293"/>
      <c r="D26" s="293"/>
      <c r="E26" s="293"/>
      <c r="F26" s="293"/>
      <c r="G26" s="293"/>
      <c r="H26" s="293"/>
      <c r="I26" s="293"/>
      <c r="J26" s="293"/>
      <c r="K26" s="293"/>
      <c r="L26" s="293"/>
      <c r="M26" s="293"/>
      <c r="N26" s="293"/>
      <c r="O26" s="293"/>
      <c r="P26" s="293"/>
      <c r="Q26" s="293"/>
      <c r="R26" s="293"/>
      <c r="S26" s="293"/>
      <c r="T26" s="293"/>
      <c r="U26" s="293"/>
      <c r="V26" s="293"/>
      <c r="W26" s="293"/>
      <c r="X26" s="293"/>
    </row>
    <row r="27" spans="1:24" x14ac:dyDescent="0.25">
      <c r="A27" s="293"/>
      <c r="B27" s="293"/>
      <c r="C27" s="293"/>
      <c r="D27" s="293"/>
      <c r="E27" s="293"/>
      <c r="F27" s="293"/>
      <c r="G27" s="293"/>
      <c r="H27" s="293"/>
      <c r="I27" s="293"/>
      <c r="J27" s="293"/>
      <c r="K27" s="293"/>
      <c r="L27" s="293"/>
      <c r="M27" s="293"/>
      <c r="N27" s="293"/>
      <c r="O27" s="293"/>
      <c r="P27" s="293"/>
      <c r="Q27" s="293"/>
      <c r="R27" s="293"/>
      <c r="S27" s="293"/>
      <c r="T27" s="293"/>
      <c r="U27" s="293"/>
      <c r="V27" s="293"/>
      <c r="W27" s="293"/>
      <c r="X27" s="293"/>
    </row>
    <row r="28" spans="1:24" x14ac:dyDescent="0.25">
      <c r="A28" s="293"/>
      <c r="B28" s="293"/>
      <c r="C28" s="293"/>
      <c r="D28" s="293"/>
      <c r="E28" s="293"/>
      <c r="F28" s="293"/>
      <c r="G28" s="293"/>
      <c r="H28" s="293"/>
      <c r="I28" s="293"/>
      <c r="J28" s="293"/>
      <c r="K28" s="293"/>
      <c r="L28" s="293"/>
      <c r="M28" s="293"/>
      <c r="N28" s="293"/>
      <c r="O28" s="293"/>
      <c r="P28" s="293"/>
      <c r="Q28" s="293"/>
      <c r="R28" s="293"/>
      <c r="S28" s="293"/>
      <c r="T28" s="293"/>
      <c r="U28" s="293"/>
      <c r="V28" s="293"/>
      <c r="W28" s="293"/>
      <c r="X28" s="293"/>
    </row>
    <row r="29" spans="1:24" x14ac:dyDescent="0.25">
      <c r="A29" s="293"/>
      <c r="B29" s="293"/>
      <c r="C29" s="293"/>
      <c r="D29" s="293"/>
      <c r="E29" s="293"/>
      <c r="F29" s="293"/>
      <c r="G29" s="293"/>
      <c r="H29" s="293"/>
      <c r="I29" s="293"/>
      <c r="J29" s="293"/>
      <c r="K29" s="293"/>
      <c r="L29" s="293"/>
      <c r="M29" s="293"/>
      <c r="N29" s="293"/>
      <c r="O29" s="293"/>
      <c r="P29" s="293"/>
      <c r="Q29" s="293"/>
      <c r="R29" s="293"/>
      <c r="S29" s="293"/>
      <c r="T29" s="293"/>
      <c r="U29" s="293"/>
      <c r="V29" s="293"/>
      <c r="W29" s="293"/>
      <c r="X29" s="293"/>
    </row>
    <row r="30" spans="1:24" x14ac:dyDescent="0.25">
      <c r="A30" s="293"/>
      <c r="B30" s="293"/>
      <c r="C30" s="293"/>
      <c r="D30" s="293"/>
      <c r="E30" s="293"/>
      <c r="F30" s="293"/>
      <c r="G30" s="293"/>
      <c r="H30" s="293"/>
      <c r="I30" s="293"/>
      <c r="J30" s="293"/>
      <c r="K30" s="293"/>
      <c r="L30" s="293"/>
      <c r="M30" s="293"/>
      <c r="N30" s="293"/>
      <c r="O30" s="293"/>
      <c r="P30" s="293"/>
      <c r="Q30" s="293"/>
      <c r="R30" s="293"/>
      <c r="S30" s="293"/>
      <c r="T30" s="293"/>
      <c r="U30" s="293"/>
      <c r="V30" s="293"/>
      <c r="W30" s="293"/>
      <c r="X30" s="293"/>
    </row>
    <row r="31" spans="1:24" x14ac:dyDescent="0.25">
      <c r="A31" s="293"/>
      <c r="B31" s="293"/>
      <c r="C31" s="293"/>
      <c r="D31" s="293"/>
      <c r="E31" s="293"/>
      <c r="F31" s="293"/>
      <c r="G31" s="293"/>
      <c r="H31" s="293"/>
      <c r="I31" s="293"/>
      <c r="J31" s="293"/>
      <c r="K31" s="293"/>
      <c r="L31" s="293"/>
      <c r="M31" s="293"/>
      <c r="N31" s="293"/>
      <c r="O31" s="293"/>
      <c r="P31" s="293"/>
      <c r="Q31" s="293"/>
      <c r="R31" s="293"/>
      <c r="S31" s="293"/>
      <c r="T31" s="293"/>
      <c r="U31" s="293"/>
      <c r="V31" s="293"/>
      <c r="W31" s="293"/>
      <c r="X31" s="293"/>
    </row>
    <row r="32" spans="1:24" x14ac:dyDescent="0.25">
      <c r="A32" s="293"/>
      <c r="B32" s="293"/>
      <c r="C32" s="293"/>
      <c r="D32" s="293"/>
      <c r="E32" s="293"/>
      <c r="F32" s="293"/>
      <c r="G32" s="293"/>
      <c r="H32" s="293"/>
      <c r="I32" s="293"/>
      <c r="J32" s="293"/>
      <c r="K32" s="293"/>
      <c r="L32" s="293"/>
      <c r="M32" s="293"/>
      <c r="N32" s="293"/>
      <c r="O32" s="293"/>
      <c r="P32" s="293"/>
      <c r="Q32" s="293"/>
      <c r="R32" s="293"/>
      <c r="S32" s="293"/>
      <c r="T32" s="293"/>
      <c r="U32" s="293"/>
      <c r="V32" s="293"/>
      <c r="W32" s="293"/>
      <c r="X32" s="293"/>
    </row>
    <row r="33" spans="1:24" x14ac:dyDescent="0.25">
      <c r="A33" s="293"/>
      <c r="B33" s="293"/>
      <c r="C33" s="293"/>
      <c r="D33" s="293"/>
      <c r="E33" s="293"/>
      <c r="F33" s="293"/>
      <c r="G33" s="293"/>
      <c r="H33" s="293"/>
      <c r="I33" s="293"/>
      <c r="J33" s="293"/>
      <c r="K33" s="293"/>
      <c r="L33" s="293"/>
      <c r="M33" s="293"/>
      <c r="N33" s="293"/>
      <c r="O33" s="293"/>
      <c r="P33" s="293"/>
      <c r="Q33" s="293"/>
      <c r="R33" s="293"/>
      <c r="S33" s="293"/>
      <c r="T33" s="293"/>
      <c r="U33" s="293"/>
      <c r="V33" s="293"/>
      <c r="W33" s="293"/>
      <c r="X33" s="293"/>
    </row>
    <row r="34" spans="1:24" x14ac:dyDescent="0.25">
      <c r="A34" s="293"/>
      <c r="B34" s="293"/>
      <c r="C34" s="293"/>
      <c r="D34" s="293"/>
      <c r="E34" s="293"/>
      <c r="F34" s="293"/>
      <c r="G34" s="293"/>
      <c r="H34" s="293"/>
      <c r="I34" s="293"/>
      <c r="J34" s="293"/>
      <c r="K34" s="293"/>
      <c r="L34" s="293"/>
      <c r="M34" s="293"/>
      <c r="N34" s="293"/>
      <c r="O34" s="293"/>
      <c r="P34" s="293"/>
      <c r="Q34" s="293"/>
      <c r="R34" s="293"/>
      <c r="S34" s="293"/>
      <c r="T34" s="293"/>
      <c r="U34" s="293"/>
      <c r="V34" s="293"/>
      <c r="W34" s="293"/>
      <c r="X34" s="293"/>
    </row>
    <row r="35" spans="1:24" x14ac:dyDescent="0.25">
      <c r="A35" s="293"/>
      <c r="B35" s="293"/>
      <c r="C35" s="293"/>
      <c r="D35" s="293"/>
      <c r="E35" s="293"/>
      <c r="F35" s="293"/>
      <c r="G35" s="293"/>
      <c r="H35" s="293"/>
      <c r="I35" s="293"/>
      <c r="J35" s="293"/>
      <c r="K35" s="293"/>
      <c r="L35" s="293"/>
      <c r="M35" s="293"/>
      <c r="N35" s="293"/>
      <c r="O35" s="293"/>
      <c r="P35" s="293"/>
      <c r="Q35" s="293"/>
      <c r="R35" s="293"/>
      <c r="S35" s="293"/>
      <c r="T35" s="293"/>
      <c r="U35" s="293"/>
      <c r="V35" s="293"/>
      <c r="W35" s="293"/>
      <c r="X35" s="293"/>
    </row>
    <row r="36" spans="1:24" x14ac:dyDescent="0.25">
      <c r="A36" s="293"/>
      <c r="B36" s="293"/>
      <c r="C36" s="293"/>
      <c r="D36" s="293"/>
      <c r="E36" s="293"/>
      <c r="F36" s="293"/>
      <c r="G36" s="293"/>
      <c r="H36" s="293"/>
      <c r="I36" s="293"/>
      <c r="J36" s="293"/>
      <c r="K36" s="293"/>
      <c r="L36" s="293"/>
      <c r="M36" s="293"/>
      <c r="N36" s="293"/>
      <c r="O36" s="293"/>
      <c r="P36" s="293"/>
      <c r="Q36" s="293"/>
      <c r="R36" s="293"/>
      <c r="S36" s="293"/>
      <c r="T36" s="293"/>
      <c r="U36" s="293"/>
      <c r="V36" s="293"/>
      <c r="W36" s="293"/>
      <c r="X36" s="293"/>
    </row>
    <row r="37" spans="1:24" x14ac:dyDescent="0.25">
      <c r="A37" s="293"/>
      <c r="B37" s="293"/>
      <c r="C37" s="293"/>
      <c r="D37" s="293"/>
      <c r="E37" s="293"/>
      <c r="F37" s="293"/>
      <c r="G37" s="293"/>
      <c r="H37" s="293"/>
      <c r="I37" s="293"/>
      <c r="J37" s="293"/>
      <c r="K37" s="293"/>
      <c r="L37" s="293"/>
      <c r="M37" s="293"/>
      <c r="N37" s="293"/>
      <c r="O37" s="293"/>
      <c r="P37" s="293"/>
      <c r="Q37" s="293"/>
      <c r="R37" s="293"/>
      <c r="S37" s="293"/>
      <c r="T37" s="293"/>
      <c r="U37" s="293"/>
      <c r="V37" s="293"/>
      <c r="W37" s="293"/>
      <c r="X37" s="293"/>
    </row>
    <row r="38" spans="1:24" x14ac:dyDescent="0.25">
      <c r="A38" s="293"/>
      <c r="B38" s="293"/>
      <c r="C38" s="293"/>
      <c r="D38" s="293"/>
      <c r="E38" s="293"/>
      <c r="F38" s="293"/>
      <c r="G38" s="293"/>
      <c r="H38" s="293"/>
      <c r="I38" s="293"/>
      <c r="J38" s="293"/>
      <c r="K38" s="293"/>
      <c r="L38" s="293"/>
      <c r="M38" s="293"/>
      <c r="N38" s="293"/>
      <c r="O38" s="293"/>
      <c r="P38" s="293"/>
      <c r="Q38" s="293"/>
      <c r="R38" s="293"/>
      <c r="S38" s="293"/>
      <c r="T38" s="293"/>
      <c r="U38" s="293"/>
      <c r="V38" s="293"/>
      <c r="W38" s="293"/>
      <c r="X38" s="293"/>
    </row>
    <row r="39" spans="1:24" x14ac:dyDescent="0.25">
      <c r="A39" s="293"/>
      <c r="B39" s="293"/>
      <c r="C39" s="293"/>
      <c r="D39" s="293"/>
      <c r="E39" s="293"/>
      <c r="F39" s="293"/>
      <c r="G39" s="293"/>
      <c r="H39" s="293"/>
      <c r="I39" s="293"/>
      <c r="J39" s="293"/>
      <c r="K39" s="293"/>
      <c r="L39" s="293"/>
      <c r="M39" s="293"/>
      <c r="N39" s="293"/>
      <c r="O39" s="293"/>
      <c r="P39" s="293"/>
      <c r="Q39" s="293"/>
      <c r="R39" s="293"/>
      <c r="S39" s="293"/>
      <c r="T39" s="293"/>
      <c r="U39" s="293"/>
      <c r="V39" s="293"/>
      <c r="W39" s="293"/>
      <c r="X39" s="293"/>
    </row>
    <row r="40" spans="1:24" x14ac:dyDescent="0.25">
      <c r="A40" s="293"/>
      <c r="B40" s="293"/>
      <c r="C40" s="293"/>
      <c r="D40" s="293"/>
      <c r="E40" s="293"/>
      <c r="F40" s="293"/>
      <c r="G40" s="293"/>
      <c r="H40" s="293"/>
      <c r="I40" s="293"/>
      <c r="J40" s="293"/>
      <c r="K40" s="293"/>
      <c r="L40" s="293"/>
      <c r="M40" s="293"/>
      <c r="N40" s="293"/>
      <c r="O40" s="293"/>
      <c r="P40" s="293"/>
      <c r="Q40" s="293"/>
      <c r="R40" s="293"/>
      <c r="S40" s="293"/>
      <c r="T40" s="293"/>
      <c r="U40" s="293"/>
      <c r="V40" s="293"/>
      <c r="W40" s="293"/>
      <c r="X40" s="293"/>
    </row>
    <row r="41" spans="1:24" x14ac:dyDescent="0.25">
      <c r="A41" s="293"/>
      <c r="B41" s="293"/>
      <c r="C41" s="293"/>
      <c r="D41" s="293"/>
      <c r="E41" s="293"/>
      <c r="F41" s="293"/>
      <c r="G41" s="293"/>
      <c r="H41" s="293"/>
      <c r="I41" s="293"/>
      <c r="J41" s="293"/>
      <c r="K41" s="293"/>
      <c r="L41" s="293"/>
      <c r="M41" s="293"/>
      <c r="N41" s="293"/>
      <c r="O41" s="293"/>
      <c r="P41" s="293"/>
      <c r="Q41" s="293"/>
      <c r="R41" s="293"/>
      <c r="S41" s="293"/>
      <c r="T41" s="293"/>
      <c r="U41" s="293"/>
      <c r="V41" s="293"/>
      <c r="W41" s="293"/>
      <c r="X41" s="293"/>
    </row>
    <row r="42" spans="1:24" x14ac:dyDescent="0.25">
      <c r="A42" s="293"/>
      <c r="B42" s="293"/>
      <c r="C42" s="293"/>
      <c r="D42" s="293"/>
      <c r="E42" s="293"/>
      <c r="F42" s="293"/>
      <c r="G42" s="293"/>
      <c r="H42" s="293"/>
      <c r="I42" s="293"/>
      <c r="J42" s="293"/>
      <c r="K42" s="293"/>
      <c r="L42" s="293"/>
      <c r="M42" s="293"/>
      <c r="N42" s="293"/>
      <c r="O42" s="293"/>
      <c r="P42" s="293"/>
      <c r="Q42" s="293"/>
      <c r="R42" s="293"/>
      <c r="S42" s="293"/>
      <c r="T42" s="293"/>
      <c r="U42" s="293"/>
      <c r="V42" s="293"/>
      <c r="W42" s="293"/>
      <c r="X42" s="293"/>
    </row>
    <row r="43" spans="1:24" x14ac:dyDescent="0.25">
      <c r="A43" s="293"/>
      <c r="B43" s="293"/>
      <c r="C43" s="293"/>
      <c r="D43" s="293"/>
      <c r="E43" s="293"/>
      <c r="F43" s="293"/>
      <c r="G43" s="293"/>
      <c r="H43" s="293"/>
      <c r="I43" s="293"/>
      <c r="J43" s="293"/>
      <c r="K43" s="293"/>
      <c r="L43" s="293"/>
      <c r="M43" s="293"/>
      <c r="N43" s="293"/>
      <c r="O43" s="293"/>
      <c r="P43" s="293"/>
      <c r="Q43" s="293"/>
      <c r="R43" s="293"/>
      <c r="S43" s="293"/>
      <c r="T43" s="293"/>
      <c r="U43" s="293"/>
      <c r="V43" s="293"/>
      <c r="W43" s="293"/>
      <c r="X43" s="293"/>
    </row>
    <row r="44" spans="1:24" x14ac:dyDescent="0.25">
      <c r="A44" s="293"/>
      <c r="B44" s="293"/>
      <c r="C44" s="293"/>
      <c r="D44" s="293"/>
      <c r="E44" s="293"/>
      <c r="F44" s="293"/>
      <c r="G44" s="293"/>
      <c r="H44" s="293"/>
      <c r="I44" s="293"/>
      <c r="J44" s="293"/>
      <c r="K44" s="293"/>
      <c r="L44" s="293"/>
      <c r="M44" s="293"/>
      <c r="N44" s="293"/>
      <c r="O44" s="293"/>
      <c r="P44" s="293"/>
      <c r="Q44" s="293"/>
      <c r="R44" s="293"/>
      <c r="S44" s="293"/>
      <c r="T44" s="293"/>
      <c r="U44" s="293"/>
      <c r="V44" s="293"/>
      <c r="W44" s="293"/>
      <c r="X44" s="293"/>
    </row>
    <row r="45" spans="1:24" x14ac:dyDescent="0.25">
      <c r="A45" s="293"/>
      <c r="B45" s="293"/>
      <c r="C45" s="293"/>
      <c r="D45" s="293"/>
      <c r="E45" s="293"/>
      <c r="F45" s="293"/>
      <c r="G45" s="293"/>
      <c r="H45" s="293"/>
      <c r="I45" s="293"/>
      <c r="J45" s="293"/>
      <c r="K45" s="293"/>
      <c r="L45" s="293"/>
      <c r="M45" s="293"/>
      <c r="N45" s="293"/>
      <c r="O45" s="293"/>
      <c r="P45" s="293"/>
      <c r="Q45" s="293"/>
      <c r="R45" s="293"/>
      <c r="S45" s="293"/>
      <c r="T45" s="293"/>
      <c r="U45" s="293"/>
      <c r="V45" s="293"/>
      <c r="W45" s="293"/>
      <c r="X45" s="293"/>
    </row>
    <row r="46" spans="1:24" x14ac:dyDescent="0.25">
      <c r="A46" s="293"/>
      <c r="B46" s="293"/>
      <c r="C46" s="293"/>
      <c r="D46" s="293"/>
      <c r="E46" s="293"/>
      <c r="F46" s="293"/>
      <c r="G46" s="293"/>
      <c r="H46" s="293"/>
      <c r="I46" s="293"/>
      <c r="J46" s="293"/>
      <c r="K46" s="293"/>
      <c r="L46" s="293"/>
      <c r="M46" s="293"/>
      <c r="N46" s="293"/>
      <c r="O46" s="293"/>
      <c r="P46" s="293"/>
      <c r="Q46" s="293"/>
      <c r="R46" s="293"/>
      <c r="S46" s="293"/>
      <c r="T46" s="293"/>
      <c r="U46" s="293"/>
      <c r="V46" s="293"/>
      <c r="W46" s="293"/>
      <c r="X46" s="293"/>
    </row>
    <row r="47" spans="1:24" x14ac:dyDescent="0.25">
      <c r="A47" s="293"/>
      <c r="B47" s="293"/>
      <c r="C47" s="293"/>
      <c r="D47" s="293"/>
      <c r="E47" s="293"/>
      <c r="F47" s="293"/>
      <c r="G47" s="293"/>
      <c r="H47" s="293"/>
      <c r="I47" s="293"/>
      <c r="J47" s="293"/>
      <c r="K47" s="293"/>
      <c r="L47" s="293"/>
      <c r="M47" s="293"/>
      <c r="N47" s="293"/>
      <c r="O47" s="293"/>
      <c r="P47" s="293"/>
      <c r="Q47" s="293"/>
      <c r="R47" s="293"/>
      <c r="S47" s="293"/>
      <c r="T47" s="293"/>
      <c r="U47" s="293"/>
      <c r="V47" s="293"/>
      <c r="W47" s="293"/>
      <c r="X47" s="293"/>
    </row>
    <row r="48" spans="1:24" x14ac:dyDescent="0.25">
      <c r="A48" s="293"/>
      <c r="B48" s="293"/>
      <c r="C48" s="293"/>
      <c r="D48" s="293"/>
      <c r="E48" s="293"/>
      <c r="F48" s="293"/>
      <c r="G48" s="293"/>
      <c r="H48" s="293"/>
      <c r="I48" s="293"/>
      <c r="J48" s="293"/>
      <c r="K48" s="293"/>
      <c r="L48" s="293"/>
      <c r="M48" s="293"/>
      <c r="N48" s="293"/>
      <c r="O48" s="293"/>
      <c r="P48" s="293"/>
      <c r="Q48" s="293"/>
      <c r="R48" s="293"/>
      <c r="S48" s="293"/>
      <c r="T48" s="293"/>
      <c r="U48" s="293"/>
      <c r="V48" s="293"/>
      <c r="W48" s="293"/>
      <c r="X48" s="293"/>
    </row>
    <row r="49" spans="1:24" x14ac:dyDescent="0.25">
      <c r="A49" s="293"/>
      <c r="B49" s="293"/>
      <c r="C49" s="293"/>
      <c r="D49" s="293"/>
      <c r="E49" s="293"/>
      <c r="F49" s="293"/>
      <c r="G49" s="293"/>
      <c r="H49" s="293"/>
      <c r="I49" s="293"/>
      <c r="J49" s="293"/>
      <c r="K49" s="293"/>
      <c r="L49" s="293"/>
      <c r="M49" s="293"/>
      <c r="N49" s="293"/>
      <c r="O49" s="293"/>
      <c r="P49" s="293"/>
      <c r="Q49" s="293"/>
      <c r="R49" s="293"/>
      <c r="S49" s="293"/>
      <c r="T49" s="293"/>
      <c r="U49" s="293"/>
      <c r="V49" s="293"/>
      <c r="W49" s="293"/>
      <c r="X49" s="293"/>
    </row>
    <row r="50" spans="1:24" x14ac:dyDescent="0.25">
      <c r="A50" s="293"/>
      <c r="B50" s="293"/>
      <c r="C50" s="293"/>
      <c r="D50" s="293"/>
      <c r="E50" s="293"/>
      <c r="F50" s="293"/>
      <c r="G50" s="293"/>
      <c r="H50" s="293"/>
      <c r="I50" s="293"/>
      <c r="J50" s="293"/>
      <c r="K50" s="293"/>
      <c r="L50" s="293"/>
      <c r="M50" s="293"/>
      <c r="N50" s="293"/>
      <c r="O50" s="293"/>
      <c r="P50" s="293"/>
      <c r="Q50" s="293"/>
      <c r="R50" s="293"/>
      <c r="S50" s="293"/>
      <c r="T50" s="293"/>
      <c r="U50" s="293"/>
      <c r="V50" s="293"/>
      <c r="W50" s="293"/>
      <c r="X50" s="293"/>
    </row>
    <row r="51" spans="1:24" x14ac:dyDescent="0.25">
      <c r="A51" s="293"/>
      <c r="B51" s="293"/>
      <c r="C51" s="293"/>
      <c r="D51" s="293"/>
      <c r="E51" s="293"/>
      <c r="F51" s="293"/>
      <c r="G51" s="293"/>
      <c r="H51" s="293"/>
      <c r="I51" s="293"/>
      <c r="J51" s="293"/>
      <c r="K51" s="293"/>
      <c r="L51" s="293"/>
      <c r="M51" s="293"/>
      <c r="N51" s="293"/>
      <c r="O51" s="293"/>
      <c r="P51" s="293"/>
      <c r="Q51" s="293"/>
      <c r="R51" s="293"/>
      <c r="S51" s="293"/>
      <c r="T51" s="293"/>
      <c r="U51" s="293"/>
      <c r="V51" s="293"/>
      <c r="W51" s="293"/>
      <c r="X51" s="293"/>
    </row>
    <row r="52" spans="1:24" x14ac:dyDescent="0.25">
      <c r="A52" s="293"/>
      <c r="B52" s="293"/>
      <c r="C52" s="293"/>
      <c r="D52" s="293"/>
      <c r="E52" s="293"/>
      <c r="F52" s="293"/>
      <c r="G52" s="293"/>
      <c r="H52" s="293"/>
      <c r="I52" s="293"/>
      <c r="J52" s="293"/>
      <c r="K52" s="293"/>
      <c r="L52" s="293"/>
      <c r="M52" s="293"/>
      <c r="N52" s="293"/>
      <c r="O52" s="293"/>
      <c r="P52" s="293"/>
      <c r="Q52" s="293"/>
      <c r="R52" s="293"/>
      <c r="S52" s="293"/>
      <c r="T52" s="293"/>
      <c r="U52" s="293"/>
      <c r="V52" s="293"/>
      <c r="W52" s="293"/>
      <c r="X52" s="293"/>
    </row>
    <row r="53" spans="1:24" x14ac:dyDescent="0.25">
      <c r="A53" s="293"/>
      <c r="B53" s="293"/>
      <c r="C53" s="293"/>
      <c r="D53" s="293"/>
      <c r="E53" s="293"/>
      <c r="F53" s="293"/>
      <c r="G53" s="293"/>
      <c r="H53" s="293"/>
      <c r="I53" s="293"/>
      <c r="J53" s="293"/>
      <c r="K53" s="293"/>
      <c r="L53" s="293"/>
      <c r="M53" s="293"/>
      <c r="N53" s="293"/>
      <c r="O53" s="293"/>
      <c r="P53" s="293"/>
      <c r="Q53" s="293"/>
      <c r="R53" s="293"/>
      <c r="S53" s="293"/>
      <c r="T53" s="293"/>
      <c r="U53" s="293"/>
      <c r="V53" s="293"/>
      <c r="W53" s="293"/>
      <c r="X53" s="293"/>
    </row>
    <row r="54" spans="1:24" x14ac:dyDescent="0.25">
      <c r="A54" s="293"/>
      <c r="B54" s="293"/>
      <c r="C54" s="293"/>
      <c r="D54" s="293"/>
      <c r="E54" s="293"/>
      <c r="F54" s="293"/>
      <c r="G54" s="293"/>
      <c r="H54" s="293"/>
      <c r="I54" s="293"/>
      <c r="J54" s="293"/>
      <c r="K54" s="293"/>
      <c r="L54" s="293"/>
      <c r="M54" s="293"/>
      <c r="N54" s="293"/>
      <c r="O54" s="293"/>
      <c r="P54" s="293"/>
      <c r="Q54" s="293"/>
      <c r="R54" s="293"/>
      <c r="S54" s="293"/>
      <c r="T54" s="293"/>
      <c r="U54" s="293"/>
      <c r="V54" s="293"/>
      <c r="W54" s="293"/>
      <c r="X54" s="293"/>
    </row>
    <row r="55" spans="1:24" x14ac:dyDescent="0.25">
      <c r="A55" s="293"/>
      <c r="B55" s="293"/>
      <c r="C55" s="293"/>
      <c r="D55" s="293"/>
      <c r="E55" s="293"/>
      <c r="F55" s="293"/>
      <c r="G55" s="293"/>
      <c r="H55" s="293"/>
      <c r="I55" s="293"/>
      <c r="J55" s="293"/>
      <c r="K55" s="293"/>
      <c r="L55" s="293"/>
      <c r="M55" s="293"/>
      <c r="N55" s="293"/>
      <c r="O55" s="293"/>
      <c r="P55" s="293"/>
      <c r="Q55" s="293"/>
      <c r="R55" s="293"/>
      <c r="S55" s="293"/>
      <c r="T55" s="293"/>
      <c r="U55" s="293"/>
      <c r="V55" s="293"/>
      <c r="W55" s="293"/>
      <c r="X55" s="293"/>
    </row>
    <row r="56" spans="1:24" x14ac:dyDescent="0.25">
      <c r="A56" s="293"/>
      <c r="B56" s="293"/>
      <c r="C56" s="293"/>
      <c r="D56" s="293"/>
      <c r="E56" s="293"/>
      <c r="F56" s="293"/>
      <c r="G56" s="293"/>
      <c r="H56" s="293"/>
      <c r="I56" s="293"/>
      <c r="J56" s="293"/>
      <c r="K56" s="293"/>
      <c r="L56" s="293"/>
      <c r="M56" s="293"/>
      <c r="N56" s="293"/>
      <c r="O56" s="293"/>
      <c r="P56" s="293"/>
      <c r="Q56" s="293"/>
      <c r="R56" s="293"/>
      <c r="S56" s="293"/>
      <c r="T56" s="293"/>
      <c r="U56" s="293"/>
      <c r="V56" s="293"/>
      <c r="W56" s="293"/>
      <c r="X56" s="293"/>
    </row>
    <row r="57" spans="1:24" x14ac:dyDescent="0.25">
      <c r="A57" s="293"/>
      <c r="B57" s="293"/>
      <c r="C57" s="293"/>
      <c r="D57" s="293"/>
      <c r="E57" s="293"/>
      <c r="F57" s="293"/>
      <c r="G57" s="293"/>
      <c r="H57" s="293"/>
      <c r="I57" s="293"/>
      <c r="J57" s="293"/>
      <c r="K57" s="293"/>
      <c r="L57" s="293"/>
      <c r="M57" s="293"/>
      <c r="N57" s="293"/>
      <c r="O57" s="293"/>
      <c r="P57" s="293"/>
      <c r="Q57" s="293"/>
      <c r="R57" s="293"/>
      <c r="S57" s="293"/>
      <c r="T57" s="293"/>
      <c r="U57" s="293"/>
      <c r="V57" s="293"/>
      <c r="W57" s="293"/>
      <c r="X57" s="293"/>
    </row>
    <row r="58" spans="1:24" x14ac:dyDescent="0.25">
      <c r="A58" s="293"/>
      <c r="B58" s="293"/>
      <c r="C58" s="293"/>
      <c r="D58" s="293"/>
      <c r="E58" s="293"/>
      <c r="F58" s="293"/>
      <c r="G58" s="293"/>
      <c r="H58" s="293"/>
      <c r="I58" s="293"/>
      <c r="J58" s="293"/>
      <c r="K58" s="293"/>
      <c r="L58" s="293"/>
      <c r="M58" s="293"/>
      <c r="N58" s="293"/>
      <c r="O58" s="293"/>
      <c r="P58" s="293"/>
      <c r="Q58" s="293"/>
      <c r="R58" s="293"/>
      <c r="S58" s="293"/>
      <c r="T58" s="293"/>
      <c r="U58" s="293"/>
      <c r="V58" s="293"/>
      <c r="W58" s="293"/>
      <c r="X58" s="293"/>
    </row>
    <row r="59" spans="1:24" x14ac:dyDescent="0.25">
      <c r="A59" s="293"/>
      <c r="B59" s="293"/>
      <c r="C59" s="293"/>
      <c r="D59" s="293"/>
      <c r="E59" s="293"/>
      <c r="F59" s="293"/>
      <c r="G59" s="293"/>
      <c r="H59" s="293"/>
      <c r="I59" s="293"/>
      <c r="J59" s="293"/>
      <c r="K59" s="293"/>
      <c r="L59" s="293"/>
      <c r="M59" s="293"/>
      <c r="N59" s="293"/>
      <c r="O59" s="293"/>
      <c r="P59" s="293"/>
      <c r="Q59" s="293"/>
      <c r="R59" s="293"/>
      <c r="S59" s="293"/>
      <c r="T59" s="293"/>
      <c r="U59" s="293"/>
      <c r="V59" s="293"/>
      <c r="W59" s="293"/>
      <c r="X59" s="293"/>
    </row>
    <row r="60" spans="1:24" x14ac:dyDescent="0.25">
      <c r="A60" s="293"/>
      <c r="B60" s="293"/>
      <c r="C60" s="293"/>
      <c r="D60" s="293"/>
      <c r="E60" s="293"/>
      <c r="F60" s="293"/>
      <c r="G60" s="293"/>
      <c r="H60" s="293"/>
      <c r="I60" s="293"/>
      <c r="J60" s="293"/>
      <c r="K60" s="293"/>
      <c r="L60" s="293"/>
      <c r="M60" s="293"/>
      <c r="N60" s="293"/>
      <c r="O60" s="293"/>
      <c r="P60" s="293"/>
      <c r="Q60" s="293"/>
      <c r="R60" s="293"/>
      <c r="S60" s="293"/>
      <c r="T60" s="293"/>
      <c r="U60" s="293"/>
      <c r="V60" s="293"/>
      <c r="W60" s="293"/>
      <c r="X60" s="293"/>
    </row>
    <row r="61" spans="1:24" x14ac:dyDescent="0.25">
      <c r="A61" s="293"/>
      <c r="B61" s="293"/>
      <c r="C61" s="293"/>
      <c r="D61" s="293"/>
      <c r="E61" s="293"/>
      <c r="F61" s="293"/>
      <c r="G61" s="293"/>
      <c r="H61" s="293"/>
      <c r="I61" s="293"/>
      <c r="J61" s="293"/>
      <c r="K61" s="293"/>
      <c r="L61" s="293"/>
      <c r="M61" s="293"/>
      <c r="N61" s="293"/>
      <c r="O61" s="293"/>
      <c r="P61" s="293"/>
      <c r="Q61" s="293"/>
      <c r="R61" s="293"/>
      <c r="S61" s="293"/>
      <c r="T61" s="293"/>
      <c r="U61" s="293"/>
      <c r="V61" s="293"/>
      <c r="W61" s="293"/>
      <c r="X61" s="293"/>
    </row>
    <row r="62" spans="1:24" x14ac:dyDescent="0.25">
      <c r="A62" s="293"/>
      <c r="B62" s="293"/>
      <c r="C62" s="293"/>
      <c r="D62" s="293"/>
      <c r="E62" s="293"/>
      <c r="F62" s="293"/>
      <c r="G62" s="293"/>
      <c r="H62" s="293"/>
      <c r="I62" s="293"/>
      <c r="J62" s="293"/>
      <c r="K62" s="293"/>
      <c r="L62" s="293"/>
      <c r="M62" s="293"/>
      <c r="N62" s="293"/>
      <c r="O62" s="293"/>
      <c r="P62" s="293"/>
      <c r="Q62" s="293"/>
      <c r="R62" s="293"/>
      <c r="S62" s="293"/>
      <c r="T62" s="293"/>
      <c r="U62" s="293"/>
      <c r="V62" s="293"/>
      <c r="W62" s="293"/>
      <c r="X62" s="293"/>
    </row>
    <row r="63" spans="1:24" x14ac:dyDescent="0.25">
      <c r="A63" s="293"/>
      <c r="B63" s="293"/>
      <c r="C63" s="293"/>
      <c r="D63" s="293"/>
      <c r="E63" s="293"/>
      <c r="F63" s="293"/>
      <c r="G63" s="293"/>
      <c r="H63" s="293"/>
      <c r="I63" s="293"/>
      <c r="J63" s="293"/>
      <c r="K63" s="293"/>
      <c r="L63" s="293"/>
      <c r="M63" s="293"/>
      <c r="N63" s="293"/>
      <c r="O63" s="293"/>
      <c r="P63" s="293"/>
      <c r="Q63" s="293"/>
      <c r="R63" s="293"/>
      <c r="S63" s="293"/>
      <c r="T63" s="293"/>
      <c r="U63" s="293"/>
      <c r="V63" s="293"/>
      <c r="W63" s="293"/>
      <c r="X63" s="293"/>
    </row>
    <row r="64" spans="1:24" x14ac:dyDescent="0.25">
      <c r="A64" s="293"/>
      <c r="B64" s="293"/>
      <c r="C64" s="293"/>
      <c r="D64" s="293"/>
      <c r="E64" s="293"/>
      <c r="F64" s="293"/>
      <c r="G64" s="293"/>
      <c r="H64" s="293"/>
      <c r="I64" s="293"/>
      <c r="J64" s="293"/>
      <c r="K64" s="293"/>
      <c r="L64" s="293"/>
      <c r="M64" s="293"/>
      <c r="N64" s="293"/>
      <c r="O64" s="293"/>
      <c r="P64" s="293"/>
      <c r="Q64" s="293"/>
      <c r="R64" s="293"/>
      <c r="S64" s="293"/>
      <c r="T64" s="293"/>
      <c r="U64" s="293"/>
      <c r="V64" s="293"/>
      <c r="W64" s="293"/>
      <c r="X64" s="293"/>
    </row>
    <row r="65" spans="1:24" x14ac:dyDescent="0.25">
      <c r="A65" s="293"/>
      <c r="B65" s="293"/>
      <c r="C65" s="293"/>
      <c r="D65" s="293"/>
      <c r="E65" s="293"/>
      <c r="F65" s="293"/>
      <c r="G65" s="293"/>
      <c r="H65" s="293"/>
      <c r="I65" s="293"/>
      <c r="J65" s="293"/>
      <c r="K65" s="293"/>
      <c r="L65" s="293"/>
      <c r="M65" s="293"/>
      <c r="N65" s="293"/>
      <c r="O65" s="293"/>
      <c r="P65" s="293"/>
      <c r="Q65" s="293"/>
      <c r="R65" s="293"/>
      <c r="S65" s="293"/>
      <c r="T65" s="293"/>
      <c r="U65" s="293"/>
      <c r="V65" s="293"/>
      <c r="W65" s="293"/>
      <c r="X65" s="293"/>
    </row>
    <row r="66" spans="1:24" x14ac:dyDescent="0.25">
      <c r="A66" s="293"/>
      <c r="B66" s="293"/>
      <c r="C66" s="293"/>
      <c r="D66" s="293"/>
      <c r="E66" s="293"/>
      <c r="F66" s="293"/>
      <c r="G66" s="293"/>
      <c r="H66" s="293"/>
      <c r="I66" s="293"/>
      <c r="J66" s="293"/>
      <c r="K66" s="293"/>
      <c r="L66" s="293"/>
      <c r="M66" s="293"/>
      <c r="N66" s="293"/>
      <c r="O66" s="293"/>
      <c r="P66" s="293"/>
      <c r="Q66" s="293"/>
      <c r="R66" s="293"/>
      <c r="S66" s="293"/>
      <c r="T66" s="293"/>
      <c r="U66" s="293"/>
      <c r="V66" s="293"/>
      <c r="W66" s="293"/>
      <c r="X66" s="293"/>
    </row>
    <row r="67" spans="1:24" x14ac:dyDescent="0.25">
      <c r="A67" s="293"/>
      <c r="B67" s="293"/>
      <c r="C67" s="293"/>
      <c r="D67" s="293"/>
      <c r="E67" s="293"/>
      <c r="F67" s="293"/>
      <c r="G67" s="293"/>
      <c r="H67" s="293"/>
      <c r="I67" s="293"/>
      <c r="J67" s="293"/>
      <c r="K67" s="293"/>
      <c r="L67" s="293"/>
      <c r="M67" s="293"/>
      <c r="N67" s="293"/>
      <c r="O67" s="293"/>
      <c r="P67" s="293"/>
      <c r="Q67" s="293"/>
      <c r="R67" s="293"/>
      <c r="S67" s="293"/>
      <c r="T67" s="293"/>
      <c r="U67" s="293"/>
      <c r="V67" s="293"/>
      <c r="W67" s="293"/>
      <c r="X67" s="293"/>
    </row>
    <row r="68" spans="1:24" x14ac:dyDescent="0.25">
      <c r="A68" s="293"/>
      <c r="B68" s="293"/>
      <c r="C68" s="293"/>
      <c r="D68" s="293"/>
      <c r="E68" s="293"/>
      <c r="F68" s="293"/>
      <c r="G68" s="293"/>
      <c r="H68" s="293"/>
      <c r="I68" s="293"/>
      <c r="J68" s="293"/>
      <c r="K68" s="293"/>
      <c r="L68" s="293"/>
      <c r="M68" s="293"/>
      <c r="N68" s="293"/>
      <c r="O68" s="293"/>
      <c r="P68" s="293"/>
      <c r="Q68" s="293"/>
      <c r="R68" s="293"/>
      <c r="S68" s="293"/>
      <c r="T68" s="293"/>
      <c r="U68" s="293"/>
      <c r="V68" s="293"/>
      <c r="W68" s="293"/>
      <c r="X68" s="293"/>
    </row>
    <row r="69" spans="1:24" x14ac:dyDescent="0.25">
      <c r="A69" s="293"/>
      <c r="B69" s="293"/>
      <c r="C69" s="293"/>
      <c r="D69" s="293"/>
      <c r="E69" s="293"/>
      <c r="F69" s="293"/>
      <c r="G69" s="293"/>
      <c r="H69" s="293"/>
      <c r="I69" s="293"/>
      <c r="J69" s="293"/>
      <c r="K69" s="293"/>
      <c r="L69" s="293"/>
      <c r="M69" s="293"/>
      <c r="N69" s="293"/>
      <c r="O69" s="293"/>
      <c r="P69" s="293"/>
      <c r="Q69" s="293"/>
      <c r="R69" s="293"/>
      <c r="S69" s="293"/>
      <c r="T69" s="293"/>
      <c r="U69" s="293"/>
      <c r="V69" s="293"/>
      <c r="W69" s="293"/>
      <c r="X69" s="293"/>
    </row>
    <row r="70" spans="1:24" x14ac:dyDescent="0.25">
      <c r="A70" s="293"/>
      <c r="B70" s="293"/>
      <c r="C70" s="293"/>
      <c r="D70" s="293"/>
      <c r="E70" s="293"/>
      <c r="F70" s="293"/>
      <c r="G70" s="293"/>
      <c r="H70" s="293"/>
      <c r="I70" s="293"/>
      <c r="J70" s="293"/>
      <c r="K70" s="293"/>
      <c r="L70" s="293"/>
      <c r="M70" s="293"/>
      <c r="N70" s="293"/>
      <c r="O70" s="293"/>
      <c r="P70" s="293"/>
      <c r="Q70" s="293"/>
      <c r="R70" s="293"/>
      <c r="S70" s="293"/>
      <c r="T70" s="293"/>
      <c r="U70" s="293"/>
      <c r="V70" s="293"/>
      <c r="W70" s="293"/>
      <c r="X70" s="293"/>
    </row>
    <row r="71" spans="1:24" x14ac:dyDescent="0.25">
      <c r="A71" s="293"/>
      <c r="B71" s="293"/>
      <c r="C71" s="293"/>
      <c r="D71" s="293"/>
      <c r="E71" s="293"/>
      <c r="F71" s="293"/>
      <c r="G71" s="293"/>
      <c r="H71" s="293"/>
      <c r="I71" s="293"/>
      <c r="J71" s="293"/>
      <c r="K71" s="293"/>
      <c r="L71" s="293"/>
      <c r="M71" s="293"/>
      <c r="N71" s="293"/>
      <c r="O71" s="293"/>
      <c r="P71" s="293"/>
      <c r="Q71" s="293"/>
      <c r="R71" s="293"/>
      <c r="S71" s="293"/>
      <c r="T71" s="293"/>
      <c r="U71" s="293"/>
      <c r="V71" s="293"/>
      <c r="W71" s="293"/>
      <c r="X71" s="293"/>
    </row>
    <row r="72" spans="1:24" x14ac:dyDescent="0.25">
      <c r="A72" s="293"/>
      <c r="B72" s="293"/>
      <c r="C72" s="293"/>
      <c r="D72" s="293"/>
      <c r="E72" s="293"/>
      <c r="F72" s="293"/>
      <c r="G72" s="293"/>
      <c r="H72" s="293"/>
      <c r="I72" s="293"/>
      <c r="J72" s="293"/>
      <c r="K72" s="293"/>
      <c r="L72" s="293"/>
      <c r="M72" s="293"/>
      <c r="N72" s="293"/>
      <c r="O72" s="293"/>
      <c r="P72" s="293"/>
      <c r="Q72" s="293"/>
      <c r="R72" s="293"/>
      <c r="S72" s="293"/>
      <c r="T72" s="293"/>
      <c r="U72" s="293"/>
      <c r="V72" s="293"/>
      <c r="W72" s="293"/>
      <c r="X72" s="293"/>
    </row>
    <row r="73" spans="1:24" x14ac:dyDescent="0.25">
      <c r="A73" s="293"/>
      <c r="B73" s="293"/>
      <c r="C73" s="293"/>
      <c r="D73" s="293"/>
      <c r="E73" s="293"/>
      <c r="F73" s="293"/>
      <c r="G73" s="293"/>
      <c r="H73" s="293"/>
      <c r="I73" s="293"/>
      <c r="J73" s="293"/>
      <c r="K73" s="293"/>
      <c r="L73" s="293"/>
      <c r="M73" s="293"/>
      <c r="N73" s="293"/>
      <c r="O73" s="293"/>
      <c r="P73" s="293"/>
      <c r="Q73" s="293"/>
      <c r="R73" s="293"/>
      <c r="S73" s="293"/>
      <c r="T73" s="293"/>
      <c r="U73" s="293"/>
      <c r="V73" s="293"/>
      <c r="W73" s="293"/>
      <c r="X73" s="293"/>
    </row>
    <row r="74" spans="1:24" x14ac:dyDescent="0.25">
      <c r="A74" s="293"/>
      <c r="B74" s="293"/>
      <c r="C74" s="293"/>
      <c r="D74" s="293"/>
      <c r="E74" s="293"/>
      <c r="F74" s="293"/>
      <c r="G74" s="293"/>
      <c r="H74" s="293"/>
      <c r="I74" s="293"/>
      <c r="J74" s="293"/>
      <c r="K74" s="293"/>
      <c r="L74" s="293"/>
      <c r="M74" s="293"/>
      <c r="N74" s="293"/>
      <c r="O74" s="293"/>
      <c r="P74" s="293"/>
      <c r="Q74" s="293"/>
      <c r="R74" s="293"/>
      <c r="S74" s="293"/>
      <c r="T74" s="293"/>
      <c r="U74" s="293"/>
      <c r="V74" s="293"/>
      <c r="W74" s="293"/>
      <c r="X74" s="293"/>
    </row>
    <row r="75" spans="1:24" x14ac:dyDescent="0.25">
      <c r="A75" s="293"/>
      <c r="B75" s="293"/>
      <c r="C75" s="293"/>
      <c r="D75" s="293"/>
      <c r="E75" s="293"/>
      <c r="F75" s="293"/>
      <c r="G75" s="293"/>
      <c r="H75" s="293"/>
      <c r="I75" s="293"/>
      <c r="J75" s="293"/>
      <c r="K75" s="293"/>
      <c r="L75" s="293"/>
      <c r="M75" s="293"/>
      <c r="N75" s="293"/>
      <c r="O75" s="293"/>
      <c r="P75" s="293"/>
      <c r="Q75" s="293"/>
      <c r="R75" s="293"/>
      <c r="S75" s="293"/>
      <c r="T75" s="293"/>
      <c r="U75" s="293"/>
      <c r="V75" s="293"/>
      <c r="W75" s="293"/>
      <c r="X75" s="293"/>
    </row>
    <row r="76" spans="1:24" x14ac:dyDescent="0.25">
      <c r="A76" s="293"/>
      <c r="B76" s="293"/>
      <c r="C76" s="293"/>
      <c r="D76" s="293"/>
      <c r="E76" s="293"/>
      <c r="F76" s="293"/>
      <c r="G76" s="293"/>
      <c r="H76" s="293"/>
      <c r="I76" s="293"/>
      <c r="J76" s="293"/>
      <c r="K76" s="293"/>
      <c r="L76" s="293"/>
      <c r="M76" s="293"/>
      <c r="N76" s="293"/>
      <c r="O76" s="293"/>
      <c r="P76" s="293"/>
      <c r="Q76" s="293"/>
      <c r="R76" s="293"/>
      <c r="S76" s="293"/>
      <c r="T76" s="293"/>
      <c r="U76" s="293"/>
      <c r="V76" s="293"/>
      <c r="W76" s="293"/>
      <c r="X76" s="293"/>
    </row>
    <row r="77" spans="1:24" x14ac:dyDescent="0.25">
      <c r="A77" s="293"/>
      <c r="B77" s="293"/>
      <c r="C77" s="293"/>
      <c r="D77" s="293"/>
      <c r="E77" s="293"/>
      <c r="F77" s="293"/>
      <c r="G77" s="293"/>
      <c r="H77" s="293"/>
      <c r="I77" s="293"/>
      <c r="J77" s="293"/>
      <c r="K77" s="293"/>
      <c r="L77" s="293"/>
      <c r="M77" s="293"/>
      <c r="N77" s="293"/>
      <c r="O77" s="293"/>
      <c r="P77" s="293"/>
      <c r="Q77" s="293"/>
      <c r="R77" s="293"/>
      <c r="S77" s="293"/>
      <c r="T77" s="293"/>
      <c r="U77" s="293"/>
      <c r="V77" s="293"/>
      <c r="W77" s="293"/>
      <c r="X77" s="293"/>
    </row>
    <row r="78" spans="1:24" x14ac:dyDescent="0.25">
      <c r="A78" s="293"/>
      <c r="B78" s="293"/>
      <c r="C78" s="293"/>
      <c r="D78" s="293"/>
      <c r="E78" s="293"/>
      <c r="F78" s="293"/>
      <c r="G78" s="293"/>
      <c r="H78" s="293"/>
      <c r="I78" s="293"/>
      <c r="J78" s="293"/>
      <c r="K78" s="293"/>
      <c r="L78" s="293"/>
      <c r="M78" s="293"/>
      <c r="N78" s="293"/>
      <c r="O78" s="293"/>
      <c r="P78" s="293"/>
      <c r="Q78" s="293"/>
      <c r="R78" s="293"/>
      <c r="S78" s="293"/>
      <c r="T78" s="293"/>
      <c r="U78" s="293"/>
      <c r="V78" s="293"/>
      <c r="W78" s="293"/>
      <c r="X78" s="293"/>
    </row>
    <row r="79" spans="1:24" x14ac:dyDescent="0.25">
      <c r="A79" s="293"/>
      <c r="B79" s="293"/>
      <c r="C79" s="293"/>
      <c r="D79" s="293"/>
      <c r="E79" s="293"/>
      <c r="F79" s="293"/>
      <c r="G79" s="293"/>
      <c r="H79" s="293"/>
      <c r="I79" s="293"/>
      <c r="J79" s="293"/>
      <c r="K79" s="293"/>
      <c r="L79" s="293"/>
      <c r="M79" s="293"/>
      <c r="N79" s="293"/>
      <c r="O79" s="293"/>
      <c r="P79" s="293"/>
      <c r="Q79" s="293"/>
      <c r="R79" s="293"/>
      <c r="S79" s="293"/>
      <c r="T79" s="293"/>
      <c r="U79" s="293"/>
      <c r="V79" s="293"/>
      <c r="W79" s="293"/>
      <c r="X79" s="293"/>
    </row>
    <row r="80" spans="1:24" x14ac:dyDescent="0.25">
      <c r="A80" s="293"/>
      <c r="B80" s="293"/>
      <c r="C80" s="293"/>
      <c r="D80" s="293"/>
      <c r="E80" s="293"/>
      <c r="F80" s="293"/>
      <c r="G80" s="293"/>
      <c r="H80" s="293"/>
      <c r="I80" s="293"/>
      <c r="J80" s="293"/>
      <c r="K80" s="293"/>
      <c r="L80" s="293"/>
      <c r="M80" s="293"/>
      <c r="N80" s="293"/>
      <c r="O80" s="293"/>
      <c r="P80" s="293"/>
      <c r="Q80" s="293"/>
      <c r="R80" s="293"/>
      <c r="S80" s="293"/>
      <c r="T80" s="293"/>
      <c r="U80" s="293"/>
      <c r="V80" s="293"/>
      <c r="W80" s="293"/>
      <c r="X80" s="293"/>
    </row>
    <row r="81" spans="1:24" x14ac:dyDescent="0.25">
      <c r="A81" s="293"/>
      <c r="B81" s="293"/>
      <c r="C81" s="293"/>
      <c r="D81" s="293"/>
      <c r="E81" s="293"/>
      <c r="F81" s="293"/>
      <c r="G81" s="293"/>
      <c r="H81" s="293"/>
      <c r="I81" s="293"/>
      <c r="J81" s="293"/>
      <c r="K81" s="293"/>
      <c r="L81" s="293"/>
      <c r="M81" s="293"/>
      <c r="N81" s="293"/>
      <c r="O81" s="293"/>
      <c r="P81" s="293"/>
      <c r="Q81" s="293"/>
      <c r="R81" s="293"/>
      <c r="S81" s="293"/>
      <c r="T81" s="293"/>
      <c r="U81" s="293"/>
      <c r="V81" s="293"/>
      <c r="W81" s="293"/>
      <c r="X81" s="293"/>
    </row>
    <row r="82" spans="1:24" x14ac:dyDescent="0.25">
      <c r="A82" s="293"/>
      <c r="B82" s="293"/>
      <c r="C82" s="293"/>
      <c r="D82" s="293"/>
      <c r="E82" s="293"/>
      <c r="F82" s="293"/>
      <c r="G82" s="293"/>
      <c r="H82" s="293"/>
      <c r="I82" s="293"/>
      <c r="J82" s="293"/>
      <c r="K82" s="293"/>
      <c r="L82" s="293"/>
      <c r="M82" s="293"/>
      <c r="N82" s="293"/>
      <c r="O82" s="293"/>
      <c r="P82" s="293"/>
      <c r="Q82" s="293"/>
      <c r="R82" s="293"/>
      <c r="S82" s="293"/>
      <c r="T82" s="293"/>
      <c r="U82" s="293"/>
      <c r="V82" s="293"/>
      <c r="W82" s="293"/>
      <c r="X82" s="293"/>
    </row>
    <row r="83" spans="1:24" x14ac:dyDescent="0.25">
      <c r="A83" s="293"/>
      <c r="B83" s="293"/>
      <c r="C83" s="293"/>
      <c r="D83" s="293"/>
      <c r="E83" s="293"/>
      <c r="F83" s="293"/>
      <c r="G83" s="293"/>
      <c r="H83" s="293"/>
      <c r="I83" s="293"/>
      <c r="J83" s="293"/>
      <c r="K83" s="293"/>
      <c r="L83" s="293"/>
      <c r="M83" s="293"/>
      <c r="N83" s="293"/>
      <c r="O83" s="293"/>
      <c r="P83" s="293"/>
      <c r="Q83" s="293"/>
      <c r="R83" s="293"/>
      <c r="S83" s="293"/>
      <c r="T83" s="293"/>
      <c r="U83" s="293"/>
      <c r="V83" s="293"/>
      <c r="W83" s="293"/>
      <c r="X83" s="293"/>
    </row>
    <row r="84" spans="1:24" x14ac:dyDescent="0.25">
      <c r="A84" s="293"/>
      <c r="B84" s="293"/>
      <c r="C84" s="293"/>
      <c r="D84" s="293"/>
      <c r="E84" s="293"/>
      <c r="F84" s="293"/>
      <c r="G84" s="293"/>
      <c r="H84" s="293"/>
      <c r="I84" s="293"/>
      <c r="J84" s="293"/>
      <c r="K84" s="293"/>
      <c r="L84" s="293"/>
      <c r="M84" s="293"/>
      <c r="N84" s="293"/>
      <c r="O84" s="293"/>
      <c r="P84" s="293"/>
      <c r="Q84" s="293"/>
      <c r="R84" s="293"/>
      <c r="S84" s="293"/>
      <c r="T84" s="293"/>
      <c r="U84" s="293"/>
      <c r="V84" s="293"/>
      <c r="W84" s="293"/>
      <c r="X84" s="293"/>
    </row>
    <row r="85" spans="1:24" x14ac:dyDescent="0.25">
      <c r="A85" s="293"/>
      <c r="B85" s="293"/>
      <c r="C85" s="293"/>
      <c r="D85" s="293"/>
      <c r="E85" s="293"/>
      <c r="F85" s="293"/>
      <c r="G85" s="293"/>
      <c r="H85" s="293"/>
      <c r="I85" s="293"/>
      <c r="J85" s="293"/>
      <c r="K85" s="293"/>
      <c r="L85" s="293"/>
      <c r="M85" s="293"/>
      <c r="N85" s="293"/>
      <c r="O85" s="293"/>
      <c r="P85" s="293"/>
      <c r="Q85" s="293"/>
      <c r="R85" s="293"/>
      <c r="S85" s="293"/>
      <c r="T85" s="293"/>
      <c r="U85" s="293"/>
      <c r="V85" s="293"/>
      <c r="W85" s="293"/>
      <c r="X85" s="293"/>
    </row>
    <row r="86" spans="1:24" x14ac:dyDescent="0.25">
      <c r="A86" s="293"/>
      <c r="B86" s="293"/>
      <c r="C86" s="293"/>
      <c r="D86" s="293"/>
      <c r="E86" s="293"/>
      <c r="F86" s="293"/>
      <c r="G86" s="293"/>
      <c r="H86" s="293"/>
      <c r="I86" s="293"/>
      <c r="J86" s="293"/>
      <c r="K86" s="293"/>
      <c r="L86" s="293"/>
      <c r="M86" s="293"/>
      <c r="N86" s="293"/>
      <c r="O86" s="293"/>
      <c r="P86" s="293"/>
      <c r="Q86" s="293"/>
      <c r="R86" s="293"/>
      <c r="S86" s="293"/>
      <c r="T86" s="293"/>
      <c r="U86" s="293"/>
      <c r="V86" s="293"/>
      <c r="W86" s="293"/>
      <c r="X86" s="293"/>
    </row>
    <row r="87" spans="1:24" x14ac:dyDescent="0.25">
      <c r="A87" s="293"/>
      <c r="B87" s="293"/>
      <c r="C87" s="293"/>
      <c r="D87" s="293"/>
      <c r="E87" s="293"/>
      <c r="F87" s="293"/>
      <c r="G87" s="293"/>
      <c r="H87" s="293"/>
      <c r="I87" s="293"/>
      <c r="J87" s="293"/>
      <c r="K87" s="293"/>
      <c r="L87" s="293"/>
      <c r="M87" s="293"/>
      <c r="N87" s="293"/>
      <c r="O87" s="293"/>
      <c r="P87" s="293"/>
      <c r="Q87" s="293"/>
      <c r="R87" s="293"/>
      <c r="S87" s="293"/>
      <c r="T87" s="293"/>
      <c r="U87" s="293"/>
      <c r="V87" s="293"/>
      <c r="W87" s="293"/>
      <c r="X87" s="293"/>
    </row>
    <row r="88" spans="1:24" x14ac:dyDescent="0.25">
      <c r="A88" s="293"/>
      <c r="B88" s="293"/>
      <c r="C88" s="293"/>
      <c r="D88" s="293"/>
      <c r="E88" s="293"/>
      <c r="F88" s="293"/>
      <c r="G88" s="293"/>
      <c r="H88" s="293"/>
      <c r="I88" s="293"/>
      <c r="J88" s="293"/>
      <c r="K88" s="293"/>
      <c r="L88" s="293"/>
      <c r="M88" s="293"/>
      <c r="N88" s="293"/>
      <c r="O88" s="293"/>
      <c r="P88" s="293"/>
      <c r="Q88" s="293"/>
      <c r="R88" s="293"/>
      <c r="S88" s="293"/>
      <c r="T88" s="293"/>
      <c r="U88" s="293"/>
      <c r="V88" s="293"/>
      <c r="W88" s="293"/>
      <c r="X88" s="293"/>
    </row>
    <row r="89" spans="1:24" x14ac:dyDescent="0.25">
      <c r="A89" s="293"/>
      <c r="B89" s="293"/>
      <c r="C89" s="293"/>
      <c r="D89" s="293"/>
      <c r="E89" s="293"/>
      <c r="F89" s="293"/>
      <c r="G89" s="293"/>
      <c r="H89" s="293"/>
      <c r="I89" s="293"/>
      <c r="J89" s="293"/>
      <c r="K89" s="293"/>
      <c r="L89" s="293"/>
      <c r="M89" s="293"/>
      <c r="N89" s="293"/>
      <c r="O89" s="293"/>
      <c r="P89" s="293"/>
      <c r="Q89" s="293"/>
      <c r="R89" s="293"/>
      <c r="S89" s="293"/>
      <c r="T89" s="293"/>
      <c r="U89" s="293"/>
      <c r="V89" s="293"/>
      <c r="W89" s="293"/>
      <c r="X89" s="293"/>
    </row>
    <row r="90" spans="1:24" x14ac:dyDescent="0.25">
      <c r="A90" s="293"/>
      <c r="B90" s="293"/>
      <c r="C90" s="293"/>
      <c r="D90" s="293"/>
      <c r="E90" s="293"/>
      <c r="F90" s="293"/>
      <c r="G90" s="293"/>
      <c r="H90" s="293"/>
      <c r="I90" s="293"/>
      <c r="J90" s="293"/>
      <c r="K90" s="293"/>
      <c r="L90" s="293"/>
      <c r="M90" s="293"/>
      <c r="N90" s="293"/>
      <c r="O90" s="293"/>
      <c r="P90" s="293"/>
      <c r="Q90" s="293"/>
      <c r="R90" s="293"/>
      <c r="S90" s="293"/>
      <c r="T90" s="293"/>
      <c r="U90" s="293"/>
      <c r="V90" s="293"/>
      <c r="W90" s="293"/>
      <c r="X90" s="293"/>
    </row>
    <row r="91" spans="1:24" x14ac:dyDescent="0.25">
      <c r="A91" s="293"/>
      <c r="B91" s="293"/>
      <c r="C91" s="293"/>
      <c r="D91" s="293"/>
      <c r="E91" s="293"/>
      <c r="F91" s="293"/>
      <c r="G91" s="293"/>
      <c r="H91" s="293"/>
      <c r="I91" s="293"/>
      <c r="J91" s="293"/>
      <c r="K91" s="293"/>
      <c r="L91" s="293"/>
      <c r="M91" s="293"/>
      <c r="N91" s="293"/>
      <c r="O91" s="293"/>
      <c r="P91" s="293"/>
      <c r="Q91" s="293"/>
      <c r="R91" s="293"/>
      <c r="S91" s="293"/>
      <c r="T91" s="293"/>
      <c r="U91" s="293"/>
      <c r="V91" s="293"/>
      <c r="W91" s="293"/>
      <c r="X91" s="293"/>
    </row>
    <row r="92" spans="1:24" x14ac:dyDescent="0.25">
      <c r="A92" s="293"/>
      <c r="B92" s="293"/>
      <c r="C92" s="293"/>
      <c r="D92" s="293"/>
      <c r="E92" s="293"/>
      <c r="F92" s="293"/>
      <c r="G92" s="293"/>
      <c r="H92" s="293"/>
      <c r="I92" s="293"/>
      <c r="J92" s="293"/>
      <c r="K92" s="293"/>
      <c r="L92" s="293"/>
      <c r="M92" s="293"/>
      <c r="N92" s="293"/>
      <c r="O92" s="293"/>
      <c r="P92" s="293"/>
      <c r="Q92" s="293"/>
      <c r="R92" s="293"/>
      <c r="S92" s="293"/>
      <c r="T92" s="293"/>
      <c r="U92" s="293"/>
      <c r="V92" s="293"/>
      <c r="W92" s="293"/>
      <c r="X92" s="293"/>
    </row>
    <row r="93" spans="1:24" x14ac:dyDescent="0.25">
      <c r="A93" s="293"/>
      <c r="B93" s="293"/>
      <c r="C93" s="293"/>
      <c r="D93" s="293"/>
      <c r="E93" s="293"/>
      <c r="F93" s="293"/>
      <c r="G93" s="293"/>
      <c r="H93" s="293"/>
      <c r="I93" s="293"/>
      <c r="J93" s="293"/>
      <c r="K93" s="293"/>
      <c r="L93" s="293"/>
      <c r="M93" s="293"/>
      <c r="N93" s="293"/>
      <c r="O93" s="293"/>
      <c r="P93" s="293"/>
      <c r="Q93" s="293"/>
      <c r="R93" s="293"/>
      <c r="S93" s="293"/>
      <c r="T93" s="293"/>
      <c r="U93" s="293"/>
      <c r="V93" s="293"/>
      <c r="W93" s="293"/>
      <c r="X93" s="293"/>
    </row>
    <row r="94" spans="1:24" x14ac:dyDescent="0.25">
      <c r="A94" s="293"/>
      <c r="B94" s="293"/>
      <c r="C94" s="293"/>
      <c r="D94" s="293"/>
      <c r="E94" s="293"/>
      <c r="F94" s="293"/>
      <c r="G94" s="293"/>
      <c r="H94" s="293"/>
      <c r="I94" s="293"/>
      <c r="J94" s="293"/>
      <c r="K94" s="293"/>
      <c r="L94" s="293"/>
      <c r="M94" s="293"/>
      <c r="N94" s="293"/>
      <c r="O94" s="293"/>
      <c r="P94" s="293"/>
      <c r="Q94" s="293"/>
      <c r="R94" s="293"/>
      <c r="S94" s="293"/>
      <c r="T94" s="293"/>
      <c r="U94" s="293"/>
      <c r="V94" s="293"/>
      <c r="W94" s="293"/>
      <c r="X94" s="293"/>
    </row>
    <row r="95" spans="1:24" x14ac:dyDescent="0.25">
      <c r="A95" s="293"/>
      <c r="B95" s="293"/>
      <c r="C95" s="293"/>
      <c r="D95" s="293"/>
      <c r="E95" s="293"/>
      <c r="F95" s="293"/>
      <c r="G95" s="293"/>
      <c r="H95" s="293"/>
      <c r="I95" s="293"/>
      <c r="J95" s="293"/>
      <c r="K95" s="293"/>
      <c r="L95" s="293"/>
      <c r="M95" s="293"/>
      <c r="N95" s="293"/>
      <c r="O95" s="293"/>
      <c r="P95" s="293"/>
      <c r="Q95" s="293"/>
      <c r="R95" s="293"/>
      <c r="S95" s="293"/>
      <c r="T95" s="293"/>
      <c r="U95" s="293"/>
      <c r="V95" s="293"/>
      <c r="W95" s="293"/>
      <c r="X95" s="293"/>
    </row>
    <row r="96" spans="1:24" x14ac:dyDescent="0.25">
      <c r="A96" s="293"/>
      <c r="B96" s="293"/>
      <c r="C96" s="293"/>
      <c r="D96" s="293"/>
      <c r="E96" s="293"/>
      <c r="F96" s="293"/>
      <c r="G96" s="293"/>
      <c r="H96" s="293"/>
      <c r="I96" s="293"/>
      <c r="J96" s="293"/>
      <c r="K96" s="293"/>
      <c r="L96" s="293"/>
      <c r="M96" s="293"/>
      <c r="N96" s="293"/>
      <c r="O96" s="293"/>
      <c r="P96" s="293"/>
      <c r="Q96" s="293"/>
      <c r="R96" s="293"/>
      <c r="S96" s="293"/>
      <c r="T96" s="293"/>
      <c r="U96" s="293"/>
      <c r="V96" s="293"/>
      <c r="W96" s="293"/>
      <c r="X96" s="293"/>
    </row>
    <row r="97" spans="1:24" x14ac:dyDescent="0.25">
      <c r="A97" s="293"/>
      <c r="B97" s="293"/>
      <c r="C97" s="293"/>
      <c r="D97" s="293"/>
      <c r="E97" s="293"/>
      <c r="F97" s="293"/>
      <c r="G97" s="293"/>
      <c r="H97" s="293"/>
      <c r="I97" s="293"/>
      <c r="J97" s="293"/>
      <c r="K97" s="293"/>
      <c r="L97" s="293"/>
      <c r="M97" s="293"/>
      <c r="N97" s="293"/>
      <c r="O97" s="293"/>
      <c r="P97" s="293"/>
      <c r="Q97" s="293"/>
      <c r="R97" s="293"/>
      <c r="S97" s="293"/>
      <c r="T97" s="293"/>
      <c r="U97" s="293"/>
      <c r="V97" s="293"/>
      <c r="W97" s="293"/>
      <c r="X97" s="293"/>
    </row>
    <row r="98" spans="1:24" x14ac:dyDescent="0.25">
      <c r="A98" s="293"/>
      <c r="B98" s="293"/>
      <c r="C98" s="293"/>
      <c r="D98" s="293"/>
      <c r="E98" s="293"/>
      <c r="F98" s="293"/>
      <c r="G98" s="293"/>
      <c r="H98" s="293"/>
      <c r="I98" s="293"/>
      <c r="J98" s="293"/>
      <c r="K98" s="293"/>
      <c r="L98" s="293"/>
      <c r="M98" s="293"/>
      <c r="N98" s="293"/>
      <c r="O98" s="293"/>
      <c r="P98" s="293"/>
      <c r="Q98" s="293"/>
      <c r="R98" s="293"/>
      <c r="S98" s="293"/>
      <c r="T98" s="293"/>
      <c r="U98" s="293"/>
      <c r="V98" s="293"/>
      <c r="W98" s="293"/>
      <c r="X98" s="293"/>
    </row>
    <row r="99" spans="1:24" x14ac:dyDescent="0.25">
      <c r="A99" s="293"/>
      <c r="B99" s="293"/>
      <c r="C99" s="293"/>
      <c r="D99" s="293"/>
      <c r="E99" s="293"/>
      <c r="F99" s="293"/>
      <c r="G99" s="293"/>
      <c r="H99" s="293"/>
      <c r="I99" s="293"/>
      <c r="J99" s="293"/>
      <c r="K99" s="293"/>
      <c r="L99" s="293"/>
      <c r="M99" s="293"/>
      <c r="N99" s="293"/>
      <c r="O99" s="293"/>
      <c r="P99" s="293"/>
      <c r="Q99" s="293"/>
      <c r="R99" s="293"/>
      <c r="S99" s="293"/>
      <c r="T99" s="293"/>
      <c r="U99" s="293"/>
      <c r="V99" s="293"/>
      <c r="W99" s="293"/>
      <c r="X99" s="293"/>
    </row>
    <row r="100" spans="1:24" x14ac:dyDescent="0.25">
      <c r="A100" s="293"/>
      <c r="B100" s="293"/>
      <c r="C100" s="293"/>
      <c r="D100" s="293"/>
      <c r="E100" s="293"/>
      <c r="F100" s="293"/>
      <c r="G100" s="293"/>
      <c r="H100" s="293"/>
      <c r="I100" s="293"/>
      <c r="J100" s="293"/>
      <c r="K100" s="293"/>
      <c r="L100" s="293"/>
      <c r="M100" s="293"/>
      <c r="N100" s="293"/>
      <c r="O100" s="293"/>
      <c r="P100" s="293"/>
      <c r="Q100" s="293"/>
      <c r="R100" s="293"/>
      <c r="S100" s="293"/>
      <c r="T100" s="293"/>
      <c r="U100" s="293"/>
      <c r="V100" s="293"/>
      <c r="W100" s="293"/>
      <c r="X100" s="293"/>
    </row>
    <row r="101" spans="1:24" x14ac:dyDescent="0.25">
      <c r="A101" s="293"/>
      <c r="B101" s="293"/>
      <c r="C101" s="293"/>
      <c r="D101" s="293"/>
      <c r="E101" s="293"/>
      <c r="F101" s="293"/>
      <c r="G101" s="293"/>
      <c r="H101" s="293"/>
      <c r="I101" s="293"/>
      <c r="J101" s="293"/>
      <c r="K101" s="293"/>
      <c r="L101" s="293"/>
      <c r="M101" s="293"/>
      <c r="N101" s="293"/>
      <c r="O101" s="293"/>
      <c r="P101" s="293"/>
      <c r="Q101" s="293"/>
      <c r="R101" s="293"/>
      <c r="S101" s="293"/>
      <c r="T101" s="293"/>
      <c r="U101" s="293"/>
      <c r="V101" s="293"/>
      <c r="W101" s="293"/>
      <c r="X101" s="293"/>
    </row>
    <row r="102" spans="1:24" x14ac:dyDescent="0.25">
      <c r="A102" s="293"/>
      <c r="B102" s="293"/>
      <c r="C102" s="293"/>
      <c r="D102" s="293"/>
      <c r="E102" s="293"/>
      <c r="F102" s="293"/>
      <c r="G102" s="293"/>
      <c r="H102" s="293"/>
      <c r="I102" s="293"/>
      <c r="J102" s="293"/>
      <c r="K102" s="293"/>
      <c r="L102" s="293"/>
      <c r="M102" s="293"/>
      <c r="N102" s="293"/>
      <c r="O102" s="293"/>
      <c r="P102" s="293"/>
      <c r="Q102" s="293"/>
      <c r="R102" s="293"/>
      <c r="S102" s="293"/>
      <c r="T102" s="293"/>
      <c r="U102" s="293"/>
      <c r="V102" s="293"/>
      <c r="W102" s="293"/>
      <c r="X102" s="293"/>
    </row>
    <row r="103" spans="1:24" x14ac:dyDescent="0.25">
      <c r="A103" s="293"/>
      <c r="B103" s="293"/>
      <c r="C103" s="293"/>
      <c r="D103" s="293"/>
      <c r="E103" s="293"/>
      <c r="F103" s="293"/>
      <c r="G103" s="293"/>
      <c r="H103" s="293"/>
      <c r="I103" s="293"/>
      <c r="J103" s="293"/>
      <c r="K103" s="293"/>
      <c r="L103" s="293"/>
      <c r="M103" s="293"/>
      <c r="N103" s="293"/>
      <c r="O103" s="293"/>
      <c r="P103" s="293"/>
      <c r="Q103" s="293"/>
      <c r="R103" s="293"/>
      <c r="S103" s="293"/>
      <c r="T103" s="293"/>
      <c r="U103" s="293"/>
      <c r="V103" s="293"/>
      <c r="W103" s="293"/>
      <c r="X103" s="293"/>
    </row>
    <row r="104" spans="1:24" x14ac:dyDescent="0.25">
      <c r="A104" s="293"/>
      <c r="B104" s="293"/>
      <c r="C104" s="293"/>
      <c r="D104" s="293"/>
      <c r="E104" s="293"/>
      <c r="F104" s="293"/>
      <c r="G104" s="293"/>
      <c r="H104" s="293"/>
      <c r="I104" s="293"/>
      <c r="J104" s="293"/>
      <c r="K104" s="293"/>
      <c r="L104" s="293"/>
      <c r="M104" s="293"/>
      <c r="N104" s="293"/>
      <c r="O104" s="293"/>
      <c r="P104" s="293"/>
      <c r="Q104" s="293"/>
      <c r="R104" s="293"/>
      <c r="S104" s="293"/>
      <c r="T104" s="293"/>
      <c r="U104" s="293"/>
      <c r="V104" s="293"/>
      <c r="W104" s="293"/>
      <c r="X104" s="293"/>
    </row>
    <row r="105" spans="1:24" x14ac:dyDescent="0.25">
      <c r="A105" s="293"/>
      <c r="B105" s="293"/>
      <c r="C105" s="293"/>
      <c r="D105" s="293"/>
      <c r="E105" s="293"/>
      <c r="F105" s="293"/>
      <c r="G105" s="293"/>
      <c r="H105" s="293"/>
      <c r="I105" s="293"/>
      <c r="J105" s="293"/>
      <c r="K105" s="293"/>
      <c r="L105" s="293"/>
      <c r="M105" s="293"/>
      <c r="N105" s="293"/>
      <c r="O105" s="293"/>
      <c r="P105" s="293"/>
      <c r="Q105" s="293"/>
      <c r="R105" s="293"/>
      <c r="S105" s="293"/>
      <c r="T105" s="293"/>
      <c r="U105" s="293"/>
      <c r="V105" s="293"/>
      <c r="W105" s="293"/>
      <c r="X105" s="293"/>
    </row>
    <row r="106" spans="1:24" x14ac:dyDescent="0.25">
      <c r="A106" s="293"/>
      <c r="B106" s="293"/>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row>
    <row r="107" spans="1:24" x14ac:dyDescent="0.25">
      <c r="A107" s="293"/>
      <c r="B107" s="293"/>
      <c r="C107" s="293"/>
      <c r="D107" s="293"/>
      <c r="E107" s="293"/>
      <c r="F107" s="293"/>
      <c r="G107" s="293"/>
      <c r="H107" s="293"/>
      <c r="I107" s="293"/>
      <c r="J107" s="293"/>
      <c r="K107" s="293"/>
      <c r="L107" s="293"/>
      <c r="M107" s="293"/>
      <c r="N107" s="293"/>
      <c r="O107" s="293"/>
      <c r="P107" s="293"/>
      <c r="Q107" s="293"/>
      <c r="R107" s="293"/>
      <c r="S107" s="293"/>
      <c r="T107" s="293"/>
      <c r="U107" s="293"/>
      <c r="V107" s="293"/>
      <c r="W107" s="293"/>
      <c r="X107" s="293"/>
    </row>
    <row r="108" spans="1:24" x14ac:dyDescent="0.25">
      <c r="A108" s="293"/>
      <c r="B108" s="293"/>
      <c r="C108" s="293"/>
      <c r="D108" s="293"/>
      <c r="E108" s="293"/>
      <c r="F108" s="293"/>
      <c r="G108" s="293"/>
      <c r="H108" s="293"/>
      <c r="I108" s="293"/>
      <c r="J108" s="293"/>
      <c r="K108" s="293"/>
      <c r="L108" s="293"/>
      <c r="M108" s="293"/>
      <c r="N108" s="293"/>
      <c r="O108" s="293"/>
      <c r="P108" s="293"/>
      <c r="Q108" s="293"/>
      <c r="R108" s="293"/>
      <c r="S108" s="293"/>
      <c r="T108" s="293"/>
      <c r="U108" s="293"/>
      <c r="V108" s="293"/>
      <c r="W108" s="293"/>
      <c r="X108" s="293"/>
    </row>
    <row r="109" spans="1:24" x14ac:dyDescent="0.25">
      <c r="A109" s="293"/>
      <c r="B109" s="293"/>
      <c r="C109" s="293"/>
      <c r="D109" s="293"/>
      <c r="E109" s="293"/>
      <c r="F109" s="293"/>
      <c r="G109" s="293"/>
      <c r="H109" s="293"/>
      <c r="I109" s="293"/>
      <c r="J109" s="293"/>
      <c r="K109" s="293"/>
      <c r="L109" s="293"/>
      <c r="M109" s="293"/>
      <c r="N109" s="293"/>
      <c r="O109" s="293"/>
      <c r="P109" s="293"/>
      <c r="Q109" s="293"/>
      <c r="R109" s="293"/>
      <c r="S109" s="293"/>
      <c r="T109" s="293"/>
      <c r="U109" s="293"/>
      <c r="V109" s="293"/>
      <c r="W109" s="293"/>
      <c r="X109" s="293"/>
    </row>
    <row r="110" spans="1:24" x14ac:dyDescent="0.25">
      <c r="A110" s="293"/>
      <c r="B110" s="293"/>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row>
    <row r="111" spans="1:24" x14ac:dyDescent="0.25">
      <c r="A111" s="293"/>
      <c r="B111" s="293"/>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row>
    <row r="112" spans="1:24" x14ac:dyDescent="0.25">
      <c r="A112" s="293"/>
      <c r="B112" s="293"/>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row>
    <row r="113" spans="1:24" x14ac:dyDescent="0.25">
      <c r="A113" s="293"/>
      <c r="B113" s="293"/>
      <c r="C113" s="293"/>
      <c r="D113" s="293"/>
      <c r="E113" s="293"/>
      <c r="F113" s="293"/>
      <c r="G113" s="293"/>
      <c r="H113" s="293"/>
      <c r="I113" s="293"/>
      <c r="J113" s="293"/>
      <c r="K113" s="293"/>
      <c r="L113" s="293"/>
      <c r="M113" s="293"/>
      <c r="N113" s="293"/>
      <c r="O113" s="293"/>
      <c r="P113" s="293"/>
      <c r="Q113" s="293"/>
      <c r="R113" s="293"/>
      <c r="S113" s="293"/>
      <c r="T113" s="293"/>
      <c r="U113" s="293"/>
      <c r="V113" s="293"/>
      <c r="W113" s="293"/>
      <c r="X113" s="293"/>
    </row>
    <row r="114" spans="1:24" x14ac:dyDescent="0.25">
      <c r="A114" s="293"/>
      <c r="B114" s="293"/>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row>
    <row r="115" spans="1:24" x14ac:dyDescent="0.25">
      <c r="A115" s="293"/>
      <c r="B115" s="293"/>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row>
    <row r="116" spans="1:24" x14ac:dyDescent="0.25">
      <c r="A116" s="293"/>
      <c r="B116" s="293"/>
      <c r="C116" s="293"/>
      <c r="D116" s="293"/>
      <c r="E116" s="293"/>
      <c r="F116" s="293"/>
      <c r="G116" s="293"/>
      <c r="H116" s="293"/>
      <c r="I116" s="293"/>
      <c r="J116" s="293"/>
      <c r="K116" s="293"/>
      <c r="L116" s="293"/>
      <c r="M116" s="293"/>
      <c r="N116" s="293"/>
      <c r="O116" s="293"/>
      <c r="P116" s="293"/>
      <c r="Q116" s="293"/>
      <c r="R116" s="293"/>
      <c r="S116" s="293"/>
      <c r="T116" s="293"/>
      <c r="U116" s="293"/>
      <c r="V116" s="293"/>
      <c r="W116" s="293"/>
      <c r="X116" s="293"/>
    </row>
    <row r="117" spans="1:24" x14ac:dyDescent="0.25">
      <c r="A117" s="293"/>
      <c r="B117" s="293"/>
      <c r="C117" s="293"/>
      <c r="D117" s="293"/>
      <c r="E117" s="293"/>
      <c r="F117" s="293"/>
      <c r="G117" s="293"/>
      <c r="H117" s="293"/>
      <c r="I117" s="293"/>
      <c r="J117" s="293"/>
      <c r="K117" s="293"/>
      <c r="L117" s="293"/>
      <c r="M117" s="293"/>
      <c r="N117" s="293"/>
      <c r="O117" s="293"/>
      <c r="P117" s="293"/>
      <c r="Q117" s="293"/>
      <c r="R117" s="293"/>
      <c r="S117" s="293"/>
      <c r="T117" s="293"/>
      <c r="U117" s="293"/>
      <c r="V117" s="293"/>
      <c r="W117" s="293"/>
      <c r="X117" s="293"/>
    </row>
    <row r="118" spans="1:24" x14ac:dyDescent="0.25">
      <c r="A118" s="293"/>
      <c r="B118" s="293"/>
      <c r="C118" s="293"/>
      <c r="D118" s="293"/>
      <c r="E118" s="293"/>
      <c r="F118" s="293"/>
      <c r="G118" s="293"/>
      <c r="H118" s="293"/>
      <c r="I118" s="293"/>
      <c r="J118" s="293"/>
      <c r="K118" s="293"/>
      <c r="L118" s="293"/>
      <c r="M118" s="293"/>
      <c r="N118" s="293"/>
      <c r="O118" s="293"/>
      <c r="P118" s="293"/>
      <c r="Q118" s="293"/>
      <c r="R118" s="293"/>
      <c r="S118" s="293"/>
      <c r="T118" s="293"/>
      <c r="U118" s="293"/>
      <c r="V118" s="293"/>
      <c r="W118" s="293"/>
      <c r="X118" s="293"/>
    </row>
    <row r="119" spans="1:24" x14ac:dyDescent="0.25">
      <c r="A119" s="293"/>
      <c r="B119" s="293"/>
      <c r="C119" s="293"/>
      <c r="D119" s="293"/>
      <c r="E119" s="293"/>
      <c r="F119" s="293"/>
      <c r="G119" s="293"/>
      <c r="H119" s="293"/>
      <c r="I119" s="293"/>
      <c r="J119" s="293"/>
      <c r="K119" s="293"/>
      <c r="L119" s="293"/>
      <c r="M119" s="293"/>
      <c r="N119" s="293"/>
      <c r="O119" s="293"/>
      <c r="P119" s="293"/>
      <c r="Q119" s="293"/>
      <c r="R119" s="293"/>
      <c r="S119" s="293"/>
      <c r="T119" s="293"/>
      <c r="U119" s="293"/>
      <c r="V119" s="293"/>
      <c r="W119" s="293"/>
      <c r="X119" s="293"/>
    </row>
    <row r="120" spans="1:24" x14ac:dyDescent="0.25">
      <c r="A120" s="293"/>
      <c r="B120" s="293"/>
      <c r="C120" s="293"/>
      <c r="D120" s="293"/>
      <c r="E120" s="293"/>
      <c r="F120" s="293"/>
      <c r="G120" s="293"/>
      <c r="H120" s="293"/>
      <c r="I120" s="293"/>
      <c r="J120" s="293"/>
      <c r="K120" s="293"/>
      <c r="L120" s="293"/>
      <c r="M120" s="293"/>
      <c r="N120" s="293"/>
      <c r="O120" s="293"/>
      <c r="P120" s="293"/>
      <c r="Q120" s="293"/>
      <c r="R120" s="293"/>
      <c r="S120" s="293"/>
      <c r="T120" s="293"/>
      <c r="U120" s="293"/>
      <c r="V120" s="293"/>
      <c r="W120" s="293"/>
      <c r="X120" s="293"/>
    </row>
    <row r="121" spans="1:24" x14ac:dyDescent="0.25">
      <c r="A121" s="293"/>
      <c r="B121" s="293"/>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row>
    <row r="122" spans="1:24" x14ac:dyDescent="0.25">
      <c r="A122" s="293"/>
      <c r="B122" s="293"/>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row>
    <row r="123" spans="1:24" x14ac:dyDescent="0.25">
      <c r="A123" s="293"/>
      <c r="B123" s="293"/>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row>
    <row r="124" spans="1:24" x14ac:dyDescent="0.25">
      <c r="A124" s="293"/>
      <c r="B124" s="293"/>
      <c r="C124" s="293"/>
      <c r="D124" s="293"/>
      <c r="E124" s="293"/>
      <c r="F124" s="293"/>
      <c r="G124" s="293"/>
      <c r="H124" s="293"/>
      <c r="I124" s="293"/>
      <c r="J124" s="293"/>
      <c r="K124" s="293"/>
      <c r="L124" s="293"/>
      <c r="M124" s="293"/>
      <c r="N124" s="293"/>
      <c r="O124" s="293"/>
      <c r="P124" s="293"/>
      <c r="Q124" s="293"/>
      <c r="R124" s="293"/>
      <c r="S124" s="293"/>
      <c r="T124" s="293"/>
      <c r="U124" s="293"/>
      <c r="V124" s="293"/>
      <c r="W124" s="293"/>
      <c r="X124" s="293"/>
    </row>
    <row r="125" spans="1:24" x14ac:dyDescent="0.25">
      <c r="A125" s="293"/>
      <c r="B125" s="293"/>
      <c r="C125" s="293"/>
      <c r="D125" s="293"/>
      <c r="E125" s="293"/>
      <c r="F125" s="293"/>
      <c r="G125" s="293"/>
      <c r="H125" s="293"/>
      <c r="I125" s="293"/>
      <c r="J125" s="293"/>
      <c r="K125" s="293"/>
      <c r="L125" s="293"/>
      <c r="M125" s="293"/>
      <c r="N125" s="293"/>
      <c r="O125" s="293"/>
      <c r="P125" s="293"/>
      <c r="Q125" s="293"/>
      <c r="R125" s="293"/>
      <c r="S125" s="293"/>
      <c r="T125" s="293"/>
      <c r="U125" s="293"/>
      <c r="V125" s="293"/>
      <c r="W125" s="293"/>
      <c r="X125" s="293"/>
    </row>
    <row r="126" spans="1:24" x14ac:dyDescent="0.25">
      <c r="A126" s="293"/>
      <c r="B126" s="293"/>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row>
    <row r="127" spans="1:24" x14ac:dyDescent="0.25">
      <c r="A127" s="293"/>
      <c r="B127" s="293"/>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row>
    <row r="128" spans="1:24" x14ac:dyDescent="0.25">
      <c r="A128" s="293"/>
      <c r="B128" s="293"/>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row>
    <row r="129" spans="1:24" x14ac:dyDescent="0.25">
      <c r="A129" s="293"/>
      <c r="B129" s="293"/>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row>
    <row r="130" spans="1:24" x14ac:dyDescent="0.25">
      <c r="A130" s="293"/>
      <c r="B130" s="293"/>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row>
    <row r="131" spans="1:24" x14ac:dyDescent="0.25">
      <c r="A131" s="293"/>
      <c r="B131" s="293"/>
      <c r="C131" s="293"/>
      <c r="D131" s="293"/>
      <c r="E131" s="293"/>
      <c r="F131" s="293"/>
      <c r="G131" s="293"/>
      <c r="H131" s="293"/>
      <c r="I131" s="293"/>
      <c r="J131" s="293"/>
      <c r="K131" s="293"/>
      <c r="L131" s="293"/>
      <c r="M131" s="293"/>
      <c r="N131" s="293"/>
      <c r="O131" s="293"/>
      <c r="P131" s="293"/>
      <c r="Q131" s="293"/>
      <c r="R131" s="293"/>
      <c r="S131" s="293"/>
      <c r="T131" s="293"/>
      <c r="U131" s="293"/>
      <c r="V131" s="293"/>
      <c r="W131" s="293"/>
      <c r="X131" s="293"/>
    </row>
    <row r="132" spans="1:24" x14ac:dyDescent="0.25">
      <c r="A132" s="293"/>
      <c r="B132" s="293"/>
      <c r="C132" s="293"/>
      <c r="D132" s="293"/>
      <c r="E132" s="293"/>
      <c r="F132" s="293"/>
      <c r="G132" s="293"/>
      <c r="H132" s="293"/>
      <c r="I132" s="293"/>
      <c r="J132" s="293"/>
      <c r="K132" s="293"/>
      <c r="L132" s="293"/>
      <c r="M132" s="293"/>
      <c r="N132" s="293"/>
      <c r="O132" s="293"/>
      <c r="P132" s="293"/>
      <c r="Q132" s="293"/>
      <c r="R132" s="293"/>
      <c r="S132" s="293"/>
      <c r="T132" s="293"/>
      <c r="U132" s="293"/>
      <c r="V132" s="293"/>
      <c r="W132" s="293"/>
      <c r="X132" s="293"/>
    </row>
    <row r="133" spans="1:24" x14ac:dyDescent="0.25">
      <c r="A133" s="293"/>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row>
    <row r="134" spans="1:24" x14ac:dyDescent="0.25">
      <c r="A134" s="293"/>
      <c r="B134" s="293"/>
      <c r="C134" s="293"/>
      <c r="D134" s="293"/>
      <c r="E134" s="293"/>
      <c r="F134" s="293"/>
      <c r="G134" s="293"/>
      <c r="H134" s="293"/>
      <c r="I134" s="293"/>
      <c r="J134" s="293"/>
      <c r="K134" s="293"/>
      <c r="L134" s="293"/>
      <c r="M134" s="293"/>
      <c r="N134" s="293"/>
      <c r="O134" s="293"/>
      <c r="P134" s="293"/>
      <c r="Q134" s="293"/>
      <c r="R134" s="293"/>
      <c r="S134" s="293"/>
      <c r="T134" s="293"/>
      <c r="U134" s="293"/>
      <c r="V134" s="293"/>
      <c r="W134" s="293"/>
      <c r="X134" s="293"/>
    </row>
    <row r="135" spans="1:24" x14ac:dyDescent="0.25">
      <c r="A135" s="293"/>
      <c r="B135" s="293"/>
      <c r="C135" s="293"/>
      <c r="D135" s="293"/>
      <c r="E135" s="293"/>
      <c r="F135" s="293"/>
      <c r="G135" s="293"/>
      <c r="H135" s="293"/>
      <c r="I135" s="293"/>
      <c r="J135" s="293"/>
      <c r="K135" s="293"/>
      <c r="L135" s="293"/>
      <c r="M135" s="293"/>
      <c r="N135" s="293"/>
      <c r="O135" s="293"/>
      <c r="P135" s="293"/>
      <c r="Q135" s="293"/>
      <c r="R135" s="293"/>
      <c r="S135" s="293"/>
      <c r="T135" s="293"/>
      <c r="U135" s="293"/>
      <c r="V135" s="293"/>
      <c r="W135" s="293"/>
      <c r="X135" s="293"/>
    </row>
    <row r="136" spans="1:24" x14ac:dyDescent="0.25">
      <c r="A136" s="293"/>
      <c r="B136" s="293"/>
      <c r="C136" s="293"/>
      <c r="D136" s="293"/>
      <c r="E136" s="293"/>
      <c r="F136" s="293"/>
      <c r="G136" s="293"/>
      <c r="H136" s="293"/>
      <c r="I136" s="293"/>
      <c r="J136" s="293"/>
      <c r="K136" s="293"/>
      <c r="L136" s="293"/>
      <c r="M136" s="293"/>
      <c r="N136" s="293"/>
      <c r="O136" s="293"/>
      <c r="P136" s="293"/>
      <c r="Q136" s="293"/>
      <c r="R136" s="293"/>
      <c r="S136" s="293"/>
      <c r="T136" s="293"/>
      <c r="U136" s="293"/>
      <c r="V136" s="293"/>
      <c r="W136" s="293"/>
      <c r="X136" s="293"/>
    </row>
    <row r="137" spans="1:24" x14ac:dyDescent="0.25">
      <c r="A137" s="293"/>
      <c r="B137" s="293"/>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row>
    <row r="138" spans="1:24" x14ac:dyDescent="0.25">
      <c r="A138" s="293"/>
      <c r="B138" s="293"/>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row>
    <row r="139" spans="1:24" x14ac:dyDescent="0.25">
      <c r="A139" s="293"/>
      <c r="B139" s="293"/>
      <c r="C139" s="293"/>
      <c r="D139" s="293"/>
      <c r="E139" s="293"/>
      <c r="F139" s="293"/>
      <c r="G139" s="293"/>
      <c r="H139" s="293"/>
      <c r="I139" s="293"/>
      <c r="J139" s="293"/>
      <c r="K139" s="293"/>
      <c r="L139" s="293"/>
      <c r="M139" s="293"/>
      <c r="N139" s="293"/>
      <c r="O139" s="293"/>
      <c r="P139" s="293"/>
      <c r="Q139" s="293"/>
      <c r="R139" s="293"/>
      <c r="S139" s="293"/>
      <c r="T139" s="293"/>
      <c r="U139" s="293"/>
      <c r="V139" s="293"/>
      <c r="W139" s="293"/>
      <c r="X139" s="293"/>
    </row>
    <row r="140" spans="1:24" x14ac:dyDescent="0.25">
      <c r="A140" s="293"/>
      <c r="B140" s="293"/>
      <c r="C140" s="293"/>
      <c r="D140" s="293"/>
      <c r="E140" s="293"/>
      <c r="F140" s="293"/>
      <c r="G140" s="293"/>
      <c r="H140" s="293"/>
      <c r="I140" s="293"/>
      <c r="J140" s="293"/>
      <c r="K140" s="293"/>
      <c r="L140" s="293"/>
      <c r="M140" s="293"/>
      <c r="N140" s="293"/>
      <c r="O140" s="293"/>
      <c r="P140" s="293"/>
      <c r="Q140" s="293"/>
      <c r="R140" s="293"/>
      <c r="S140" s="293"/>
      <c r="T140" s="293"/>
      <c r="U140" s="293"/>
      <c r="V140" s="293"/>
      <c r="W140" s="293"/>
      <c r="X140" s="293"/>
    </row>
    <row r="141" spans="1:24" x14ac:dyDescent="0.25">
      <c r="A141" s="293"/>
      <c r="B141" s="293"/>
      <c r="C141" s="293"/>
      <c r="D141" s="293"/>
      <c r="E141" s="293"/>
      <c r="F141" s="293"/>
      <c r="G141" s="293"/>
      <c r="H141" s="293"/>
      <c r="I141" s="293"/>
      <c r="J141" s="293"/>
      <c r="K141" s="293"/>
      <c r="L141" s="293"/>
      <c r="M141" s="293"/>
      <c r="N141" s="293"/>
      <c r="O141" s="293"/>
      <c r="P141" s="293"/>
      <c r="Q141" s="293"/>
      <c r="R141" s="293"/>
      <c r="S141" s="293"/>
      <c r="T141" s="293"/>
      <c r="U141" s="293"/>
      <c r="V141" s="293"/>
      <c r="W141" s="293"/>
      <c r="X141" s="293"/>
    </row>
    <row r="142" spans="1:24" x14ac:dyDescent="0.25">
      <c r="A142" s="293"/>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row>
    <row r="143" spans="1:24" x14ac:dyDescent="0.25">
      <c r="A143" s="293"/>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row>
    <row r="144" spans="1:24" x14ac:dyDescent="0.25">
      <c r="A144" s="293"/>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row>
    <row r="145" spans="1:24" x14ac:dyDescent="0.25">
      <c r="A145" s="293"/>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row>
    <row r="146" spans="1:24" x14ac:dyDescent="0.25">
      <c r="A146" s="293"/>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row>
    <row r="147" spans="1:24" x14ac:dyDescent="0.25">
      <c r="A147" s="293"/>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row>
    <row r="148" spans="1:24" x14ac:dyDescent="0.25">
      <c r="A148" s="293"/>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row>
    <row r="149" spans="1:24" x14ac:dyDescent="0.25">
      <c r="A149" s="293"/>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row>
    <row r="150" spans="1:24" x14ac:dyDescent="0.25">
      <c r="A150" s="293"/>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row>
    <row r="151" spans="1:24" x14ac:dyDescent="0.25">
      <c r="A151" s="293"/>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row>
    <row r="152" spans="1:24" x14ac:dyDescent="0.25">
      <c r="A152" s="293"/>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row>
    <row r="153" spans="1:24" x14ac:dyDescent="0.25">
      <c r="A153" s="293"/>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row>
    <row r="154" spans="1:24" x14ac:dyDescent="0.25">
      <c r="A154" s="293"/>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row>
    <row r="155" spans="1:24" x14ac:dyDescent="0.25">
      <c r="A155" s="293"/>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row>
    <row r="156" spans="1:24" x14ac:dyDescent="0.25">
      <c r="A156" s="293"/>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row>
    <row r="157" spans="1:24" x14ac:dyDescent="0.25">
      <c r="A157" s="293"/>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row>
    <row r="158" spans="1:24" x14ac:dyDescent="0.25">
      <c r="A158" s="293"/>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row>
    <row r="159" spans="1:24" x14ac:dyDescent="0.25">
      <c r="A159" s="293"/>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row>
    <row r="160" spans="1:24" x14ac:dyDescent="0.25">
      <c r="A160" s="293"/>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row>
    <row r="161" spans="1:24" x14ac:dyDescent="0.25">
      <c r="A161" s="293"/>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row>
    <row r="162" spans="1:24" x14ac:dyDescent="0.25">
      <c r="A162" s="293"/>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row>
    <row r="163" spans="1:24" x14ac:dyDescent="0.25">
      <c r="A163" s="293"/>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row>
    <row r="164" spans="1:24" x14ac:dyDescent="0.25">
      <c r="A164" s="293"/>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row>
    <row r="165" spans="1:24" x14ac:dyDescent="0.25">
      <c r="A165" s="293"/>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row>
    <row r="166" spans="1:24" x14ac:dyDescent="0.25">
      <c r="A166" s="293"/>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row>
    <row r="167" spans="1:24" x14ac:dyDescent="0.25">
      <c r="A167" s="293"/>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row>
    <row r="168" spans="1:24" x14ac:dyDescent="0.25">
      <c r="A168" s="293"/>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row>
    <row r="169" spans="1:24" x14ac:dyDescent="0.25">
      <c r="A169" s="293"/>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row>
    <row r="170" spans="1:24" x14ac:dyDescent="0.25">
      <c r="A170" s="293"/>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row>
    <row r="171" spans="1:24" x14ac:dyDescent="0.25">
      <c r="A171" s="293"/>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row>
    <row r="172" spans="1:24" x14ac:dyDescent="0.25">
      <c r="A172" s="293"/>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row>
    <row r="173" spans="1:24" x14ac:dyDescent="0.25">
      <c r="A173" s="293"/>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row>
    <row r="174" spans="1:24" x14ac:dyDescent="0.25">
      <c r="A174" s="293"/>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row>
    <row r="175" spans="1:24" x14ac:dyDescent="0.25">
      <c r="A175" s="293"/>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row>
    <row r="176" spans="1:24" x14ac:dyDescent="0.25">
      <c r="A176" s="293"/>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row>
    <row r="177" spans="1:24" x14ac:dyDescent="0.25">
      <c r="A177" s="293"/>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row>
    <row r="178" spans="1:24" x14ac:dyDescent="0.25">
      <c r="A178" s="293"/>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row>
    <row r="179" spans="1:24" x14ac:dyDescent="0.25">
      <c r="A179" s="293"/>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row>
    <row r="180" spans="1:24" x14ac:dyDescent="0.25">
      <c r="A180" s="293"/>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row>
    <row r="181" spans="1:24" x14ac:dyDescent="0.25">
      <c r="A181" s="293"/>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row>
    <row r="182" spans="1:24" x14ac:dyDescent="0.25">
      <c r="A182" s="293"/>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row>
    <row r="183" spans="1:24" x14ac:dyDescent="0.25">
      <c r="A183" s="293"/>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row>
    <row r="184" spans="1:24" x14ac:dyDescent="0.25">
      <c r="A184" s="293"/>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row>
    <row r="185" spans="1:24" x14ac:dyDescent="0.25">
      <c r="A185" s="293"/>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row>
    <row r="186" spans="1:24" x14ac:dyDescent="0.25">
      <c r="A186" s="293"/>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row>
    <row r="187" spans="1:24" x14ac:dyDescent="0.25">
      <c r="A187" s="293"/>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row>
    <row r="188" spans="1:24" x14ac:dyDescent="0.25">
      <c r="A188" s="293"/>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row>
    <row r="189" spans="1:24" x14ac:dyDescent="0.25">
      <c r="A189" s="293"/>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row>
    <row r="190" spans="1:24" x14ac:dyDescent="0.25">
      <c r="A190" s="293"/>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row>
    <row r="191" spans="1:24" x14ac:dyDescent="0.25">
      <c r="A191" s="293"/>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row>
    <row r="192" spans="1:24" x14ac:dyDescent="0.25">
      <c r="A192" s="293"/>
      <c r="B192" s="293"/>
      <c r="C192" s="293"/>
      <c r="D192" s="293"/>
      <c r="E192" s="293"/>
      <c r="F192" s="293"/>
      <c r="G192" s="293"/>
      <c r="H192" s="293"/>
      <c r="I192" s="293"/>
      <c r="J192" s="293"/>
      <c r="K192" s="293"/>
      <c r="L192" s="293"/>
      <c r="M192" s="293"/>
      <c r="N192" s="293"/>
      <c r="O192" s="293"/>
      <c r="P192" s="293"/>
      <c r="Q192" s="293"/>
      <c r="R192" s="293"/>
      <c r="S192" s="293"/>
      <c r="T192" s="293"/>
      <c r="U192" s="293"/>
      <c r="V192" s="293"/>
      <c r="W192" s="293"/>
      <c r="X192" s="293"/>
    </row>
    <row r="193" spans="1:24" x14ac:dyDescent="0.25">
      <c r="A193" s="293"/>
      <c r="B193" s="293"/>
      <c r="C193" s="293"/>
      <c r="D193" s="293"/>
      <c r="E193" s="293"/>
      <c r="F193" s="293"/>
      <c r="G193" s="293"/>
      <c r="H193" s="293"/>
      <c r="I193" s="293"/>
      <c r="J193" s="293"/>
      <c r="K193" s="293"/>
      <c r="L193" s="293"/>
      <c r="M193" s="293"/>
      <c r="N193" s="293"/>
      <c r="O193" s="293"/>
      <c r="P193" s="293"/>
      <c r="Q193" s="293"/>
      <c r="R193" s="293"/>
      <c r="S193" s="293"/>
      <c r="T193" s="293"/>
      <c r="U193" s="293"/>
      <c r="V193" s="293"/>
      <c r="W193" s="293"/>
      <c r="X193" s="293"/>
    </row>
    <row r="194" spans="1:24" x14ac:dyDescent="0.25">
      <c r="A194" s="293"/>
      <c r="B194" s="293"/>
      <c r="C194" s="293"/>
      <c r="D194" s="293"/>
      <c r="E194" s="293"/>
      <c r="F194" s="293"/>
      <c r="G194" s="293"/>
      <c r="H194" s="293"/>
      <c r="I194" s="293"/>
      <c r="J194" s="293"/>
      <c r="K194" s="293"/>
      <c r="L194" s="293"/>
      <c r="M194" s="293"/>
      <c r="N194" s="293"/>
      <c r="O194" s="293"/>
      <c r="P194" s="293"/>
      <c r="Q194" s="293"/>
      <c r="R194" s="293"/>
      <c r="S194" s="293"/>
      <c r="T194" s="293"/>
      <c r="U194" s="293"/>
      <c r="V194" s="293"/>
      <c r="W194" s="293"/>
      <c r="X194" s="293"/>
    </row>
    <row r="195" spans="1:24" x14ac:dyDescent="0.25">
      <c r="A195" s="293"/>
      <c r="B195" s="293"/>
      <c r="C195" s="293"/>
      <c r="D195" s="293"/>
      <c r="E195" s="293"/>
      <c r="F195" s="293"/>
      <c r="G195" s="293"/>
      <c r="H195" s="293"/>
      <c r="I195" s="293"/>
      <c r="J195" s="293"/>
      <c r="K195" s="293"/>
      <c r="L195" s="293"/>
      <c r="M195" s="293"/>
      <c r="N195" s="293"/>
      <c r="O195" s="293"/>
      <c r="P195" s="293"/>
      <c r="Q195" s="293"/>
      <c r="R195" s="293"/>
      <c r="S195" s="293"/>
      <c r="T195" s="293"/>
      <c r="U195" s="293"/>
      <c r="V195" s="293"/>
      <c r="W195" s="293"/>
      <c r="X195" s="293"/>
    </row>
    <row r="196" spans="1:24" x14ac:dyDescent="0.25">
      <c r="A196" s="293"/>
      <c r="B196" s="293"/>
      <c r="C196" s="293"/>
      <c r="D196" s="293"/>
      <c r="E196" s="293"/>
      <c r="F196" s="293"/>
      <c r="G196" s="293"/>
      <c r="H196" s="293"/>
      <c r="I196" s="293"/>
      <c r="J196" s="293"/>
      <c r="K196" s="293"/>
      <c r="L196" s="293"/>
      <c r="M196" s="293"/>
      <c r="N196" s="293"/>
      <c r="O196" s="293"/>
      <c r="P196" s="293"/>
      <c r="Q196" s="293"/>
      <c r="R196" s="293"/>
      <c r="S196" s="293"/>
      <c r="T196" s="293"/>
      <c r="U196" s="293"/>
      <c r="V196" s="293"/>
      <c r="W196" s="293"/>
      <c r="X196" s="293"/>
    </row>
    <row r="197" spans="1:24" x14ac:dyDescent="0.25">
      <c r="A197" s="293"/>
      <c r="B197" s="293"/>
      <c r="C197" s="293"/>
      <c r="D197" s="293"/>
      <c r="E197" s="293"/>
      <c r="F197" s="293"/>
      <c r="G197" s="293"/>
      <c r="H197" s="293"/>
      <c r="I197" s="293"/>
      <c r="J197" s="293"/>
      <c r="K197" s="293"/>
      <c r="L197" s="293"/>
      <c r="M197" s="293"/>
      <c r="N197" s="293"/>
      <c r="O197" s="293"/>
      <c r="P197" s="293"/>
      <c r="Q197" s="293"/>
      <c r="R197" s="293"/>
      <c r="S197" s="293"/>
      <c r="T197" s="293"/>
      <c r="U197" s="293"/>
      <c r="V197" s="293"/>
      <c r="W197" s="293"/>
      <c r="X197" s="293"/>
    </row>
    <row r="198" spans="1:24" x14ac:dyDescent="0.25">
      <c r="A198" s="293"/>
      <c r="B198" s="293"/>
      <c r="C198" s="293"/>
      <c r="D198" s="293"/>
      <c r="E198" s="293"/>
      <c r="F198" s="293"/>
      <c r="G198" s="293"/>
      <c r="H198" s="293"/>
      <c r="I198" s="293"/>
      <c r="J198" s="293"/>
      <c r="K198" s="293"/>
      <c r="L198" s="293"/>
      <c r="M198" s="293"/>
      <c r="N198" s="293"/>
      <c r="O198" s="293"/>
      <c r="P198" s="293"/>
      <c r="Q198" s="293"/>
      <c r="R198" s="293"/>
      <c r="S198" s="293"/>
      <c r="T198" s="293"/>
      <c r="U198" s="293"/>
      <c r="V198" s="293"/>
      <c r="W198" s="293"/>
      <c r="X198" s="293"/>
    </row>
    <row r="199" spans="1:24" x14ac:dyDescent="0.25">
      <c r="A199" s="293"/>
      <c r="B199" s="293"/>
      <c r="C199" s="293"/>
      <c r="D199" s="293"/>
      <c r="E199" s="293"/>
      <c r="F199" s="293"/>
      <c r="G199" s="293"/>
      <c r="H199" s="293"/>
      <c r="I199" s="293"/>
      <c r="J199" s="293"/>
      <c r="K199" s="293"/>
      <c r="L199" s="293"/>
      <c r="M199" s="293"/>
      <c r="N199" s="293"/>
      <c r="O199" s="293"/>
      <c r="P199" s="293"/>
      <c r="Q199" s="293"/>
      <c r="R199" s="293"/>
      <c r="S199" s="293"/>
      <c r="T199" s="293"/>
      <c r="U199" s="293"/>
      <c r="V199" s="293"/>
      <c r="W199" s="293"/>
      <c r="X199" s="293"/>
    </row>
    <row r="200" spans="1:24" x14ac:dyDescent="0.25">
      <c r="A200" s="293"/>
      <c r="B200" s="293"/>
      <c r="C200" s="293"/>
      <c r="D200" s="293"/>
      <c r="E200" s="293"/>
      <c r="F200" s="293"/>
      <c r="G200" s="293"/>
      <c r="H200" s="293"/>
      <c r="I200" s="293"/>
      <c r="J200" s="293"/>
      <c r="K200" s="293"/>
      <c r="L200" s="293"/>
      <c r="M200" s="293"/>
      <c r="N200" s="293"/>
      <c r="O200" s="293"/>
      <c r="P200" s="293"/>
      <c r="Q200" s="293"/>
      <c r="R200" s="293"/>
      <c r="S200" s="293"/>
      <c r="T200" s="293"/>
      <c r="U200" s="293"/>
      <c r="V200" s="293"/>
      <c r="W200" s="293"/>
      <c r="X200" s="293"/>
    </row>
    <row r="201" spans="1:24" x14ac:dyDescent="0.25">
      <c r="A201" s="293"/>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row>
    <row r="202" spans="1:24" x14ac:dyDescent="0.25">
      <c r="A202" s="293"/>
      <c r="B202" s="293"/>
      <c r="C202" s="293"/>
      <c r="D202" s="293"/>
      <c r="E202" s="293"/>
      <c r="F202" s="293"/>
      <c r="G202" s="293"/>
      <c r="H202" s="293"/>
      <c r="I202" s="293"/>
      <c r="J202" s="293"/>
      <c r="K202" s="293"/>
      <c r="L202" s="293"/>
      <c r="M202" s="293"/>
      <c r="N202" s="293"/>
      <c r="O202" s="293"/>
      <c r="P202" s="293"/>
      <c r="Q202" s="293"/>
      <c r="R202" s="293"/>
      <c r="S202" s="293"/>
      <c r="T202" s="293"/>
      <c r="U202" s="293"/>
      <c r="V202" s="293"/>
      <c r="W202" s="293"/>
      <c r="X202" s="293"/>
    </row>
    <row r="203" spans="1:24" x14ac:dyDescent="0.25">
      <c r="A203" s="293"/>
      <c r="B203" s="293"/>
      <c r="C203" s="293"/>
      <c r="D203" s="293"/>
      <c r="E203" s="293"/>
      <c r="F203" s="293"/>
      <c r="G203" s="293"/>
      <c r="H203" s="293"/>
      <c r="I203" s="293"/>
      <c r="J203" s="293"/>
      <c r="K203" s="293"/>
      <c r="L203" s="293"/>
      <c r="M203" s="293"/>
      <c r="N203" s="293"/>
      <c r="O203" s="293"/>
      <c r="P203" s="293"/>
      <c r="Q203" s="293"/>
      <c r="R203" s="293"/>
      <c r="S203" s="293"/>
      <c r="T203" s="293"/>
      <c r="U203" s="293"/>
      <c r="V203" s="293"/>
      <c r="W203" s="293"/>
      <c r="X203" s="293"/>
    </row>
    <row r="204" spans="1:24" x14ac:dyDescent="0.25">
      <c r="A204" s="293"/>
      <c r="B204" s="293"/>
      <c r="C204" s="293"/>
      <c r="D204" s="293"/>
      <c r="E204" s="293"/>
      <c r="F204" s="293"/>
      <c r="G204" s="293"/>
      <c r="H204" s="293"/>
      <c r="I204" s="293"/>
      <c r="J204" s="293"/>
      <c r="K204" s="293"/>
      <c r="L204" s="293"/>
      <c r="M204" s="293"/>
      <c r="N204" s="293"/>
      <c r="O204" s="293"/>
      <c r="P204" s="293"/>
      <c r="Q204" s="293"/>
      <c r="R204" s="293"/>
      <c r="S204" s="293"/>
      <c r="T204" s="293"/>
      <c r="U204" s="293"/>
      <c r="V204" s="293"/>
      <c r="W204" s="293"/>
      <c r="X204" s="293"/>
    </row>
    <row r="205" spans="1:24" x14ac:dyDescent="0.25">
      <c r="A205" s="293"/>
      <c r="B205" s="293"/>
      <c r="C205" s="293"/>
      <c r="D205" s="293"/>
      <c r="E205" s="293"/>
      <c r="F205" s="293"/>
      <c r="G205" s="293"/>
      <c r="H205" s="293"/>
      <c r="I205" s="293"/>
      <c r="J205" s="293"/>
      <c r="K205" s="293"/>
      <c r="L205" s="293"/>
      <c r="M205" s="293"/>
      <c r="N205" s="293"/>
      <c r="O205" s="293"/>
      <c r="P205" s="293"/>
      <c r="Q205" s="293"/>
      <c r="R205" s="293"/>
      <c r="S205" s="293"/>
      <c r="T205" s="293"/>
      <c r="U205" s="293"/>
      <c r="V205" s="293"/>
      <c r="W205" s="293"/>
      <c r="X205" s="293"/>
    </row>
    <row r="206" spans="1:24" x14ac:dyDescent="0.25">
      <c r="A206" s="293"/>
      <c r="B206" s="293"/>
      <c r="C206" s="293"/>
      <c r="D206" s="293"/>
      <c r="E206" s="293"/>
      <c r="F206" s="293"/>
      <c r="G206" s="293"/>
      <c r="H206" s="293"/>
      <c r="I206" s="293"/>
      <c r="J206" s="293"/>
      <c r="K206" s="293"/>
      <c r="L206" s="293"/>
      <c r="M206" s="293"/>
      <c r="N206" s="293"/>
      <c r="O206" s="293"/>
      <c r="P206" s="293"/>
      <c r="Q206" s="293"/>
      <c r="R206" s="293"/>
      <c r="S206" s="293"/>
      <c r="T206" s="293"/>
      <c r="U206" s="293"/>
      <c r="V206" s="293"/>
      <c r="W206" s="293"/>
      <c r="X206" s="293"/>
    </row>
    <row r="207" spans="1:24" x14ac:dyDescent="0.25">
      <c r="A207" s="293"/>
      <c r="B207" s="293"/>
      <c r="C207" s="293"/>
      <c r="D207" s="293"/>
      <c r="E207" s="293"/>
      <c r="F207" s="293"/>
      <c r="G207" s="293"/>
      <c r="H207" s="293"/>
      <c r="I207" s="293"/>
      <c r="J207" s="293"/>
      <c r="K207" s="293"/>
      <c r="L207" s="293"/>
      <c r="M207" s="293"/>
      <c r="N207" s="293"/>
      <c r="O207" s="293"/>
      <c r="P207" s="293"/>
      <c r="Q207" s="293"/>
      <c r="R207" s="293"/>
      <c r="S207" s="293"/>
      <c r="T207" s="293"/>
      <c r="U207" s="293"/>
      <c r="V207" s="293"/>
      <c r="W207" s="293"/>
      <c r="X207" s="293"/>
    </row>
    <row r="208" spans="1:24" x14ac:dyDescent="0.25">
      <c r="A208" s="293"/>
      <c r="B208" s="293"/>
      <c r="C208" s="293"/>
      <c r="D208" s="293"/>
      <c r="E208" s="293"/>
      <c r="F208" s="293"/>
      <c r="G208" s="293"/>
      <c r="H208" s="293"/>
      <c r="I208" s="293"/>
      <c r="J208" s="293"/>
      <c r="K208" s="293"/>
      <c r="L208" s="293"/>
      <c r="M208" s="293"/>
      <c r="N208" s="293"/>
      <c r="O208" s="293"/>
      <c r="P208" s="293"/>
      <c r="Q208" s="293"/>
      <c r="R208" s="293"/>
      <c r="S208" s="293"/>
      <c r="T208" s="293"/>
      <c r="U208" s="293"/>
      <c r="V208" s="293"/>
      <c r="W208" s="293"/>
      <c r="X208" s="293"/>
    </row>
    <row r="209" spans="1:24" x14ac:dyDescent="0.25">
      <c r="A209" s="293"/>
      <c r="B209" s="293"/>
      <c r="C209" s="293"/>
      <c r="D209" s="293"/>
      <c r="E209" s="293"/>
      <c r="F209" s="293"/>
      <c r="G209" s="293"/>
      <c r="H209" s="293"/>
      <c r="I209" s="293"/>
      <c r="J209" s="293"/>
      <c r="K209" s="293"/>
      <c r="L209" s="293"/>
      <c r="M209" s="293"/>
      <c r="N209" s="293"/>
      <c r="O209" s="293"/>
      <c r="P209" s="293"/>
      <c r="Q209" s="293"/>
      <c r="R209" s="293"/>
      <c r="S209" s="293"/>
      <c r="T209" s="293"/>
      <c r="U209" s="293"/>
      <c r="V209" s="293"/>
      <c r="W209" s="293"/>
      <c r="X209" s="293"/>
    </row>
    <row r="210" spans="1:24" x14ac:dyDescent="0.25">
      <c r="A210" s="293"/>
      <c r="B210" s="293"/>
      <c r="C210" s="293"/>
      <c r="D210" s="293"/>
      <c r="E210" s="293"/>
      <c r="F210" s="293"/>
      <c r="G210" s="293"/>
      <c r="H210" s="293"/>
      <c r="I210" s="293"/>
      <c r="J210" s="293"/>
      <c r="K210" s="293"/>
      <c r="L210" s="293"/>
      <c r="M210" s="293"/>
      <c r="N210" s="293"/>
      <c r="O210" s="293"/>
      <c r="P210" s="293"/>
      <c r="Q210" s="293"/>
      <c r="R210" s="293"/>
      <c r="S210" s="293"/>
      <c r="T210" s="293"/>
      <c r="U210" s="293"/>
      <c r="V210" s="293"/>
      <c r="W210" s="293"/>
      <c r="X210" s="293"/>
    </row>
    <row r="211" spans="1:24" x14ac:dyDescent="0.25">
      <c r="A211" s="293"/>
      <c r="B211" s="293"/>
      <c r="C211" s="293"/>
      <c r="D211" s="293"/>
      <c r="E211" s="293"/>
      <c r="F211" s="293"/>
      <c r="G211" s="293"/>
      <c r="H211" s="293"/>
      <c r="I211" s="293"/>
      <c r="J211" s="293"/>
      <c r="K211" s="293"/>
      <c r="L211" s="293"/>
      <c r="M211" s="293"/>
      <c r="N211" s="293"/>
      <c r="O211" s="293"/>
      <c r="P211" s="293"/>
      <c r="Q211" s="293"/>
      <c r="R211" s="293"/>
      <c r="S211" s="293"/>
      <c r="T211" s="293"/>
      <c r="U211" s="293"/>
      <c r="V211" s="293"/>
      <c r="W211" s="293"/>
      <c r="X211" s="293"/>
    </row>
    <row r="212" spans="1:24" x14ac:dyDescent="0.25">
      <c r="A212" s="293"/>
      <c r="B212" s="293"/>
      <c r="C212" s="293"/>
      <c r="D212" s="293"/>
      <c r="E212" s="293"/>
      <c r="F212" s="293"/>
      <c r="G212" s="293"/>
      <c r="H212" s="293"/>
      <c r="I212" s="293"/>
      <c r="J212" s="293"/>
      <c r="K212" s="293"/>
      <c r="L212" s="293"/>
      <c r="M212" s="293"/>
      <c r="N212" s="293"/>
      <c r="O212" s="293"/>
      <c r="P212" s="293"/>
      <c r="Q212" s="293"/>
      <c r="R212" s="293"/>
      <c r="S212" s="293"/>
      <c r="T212" s="293"/>
      <c r="U212" s="293"/>
      <c r="V212" s="293"/>
      <c r="W212" s="293"/>
      <c r="X212" s="293"/>
    </row>
    <row r="213" spans="1:24" x14ac:dyDescent="0.25">
      <c r="A213" s="293"/>
      <c r="B213" s="293"/>
      <c r="C213" s="293"/>
      <c r="D213" s="293"/>
      <c r="E213" s="293"/>
      <c r="F213" s="293"/>
      <c r="G213" s="293"/>
      <c r="H213" s="293"/>
      <c r="I213" s="293"/>
      <c r="J213" s="293"/>
      <c r="K213" s="293"/>
      <c r="L213" s="293"/>
      <c r="M213" s="293"/>
      <c r="N213" s="293"/>
      <c r="O213" s="293"/>
      <c r="P213" s="293"/>
      <c r="Q213" s="293"/>
      <c r="R213" s="293"/>
      <c r="S213" s="293"/>
      <c r="T213" s="293"/>
      <c r="U213" s="293"/>
      <c r="V213" s="293"/>
      <c r="W213" s="293"/>
      <c r="X213" s="293"/>
    </row>
    <row r="214" spans="1:24" x14ac:dyDescent="0.25">
      <c r="A214" s="293"/>
      <c r="B214" s="293"/>
      <c r="C214" s="293"/>
      <c r="D214" s="293"/>
      <c r="E214" s="293"/>
      <c r="F214" s="293"/>
      <c r="G214" s="293"/>
      <c r="H214" s="293"/>
      <c r="I214" s="293"/>
      <c r="J214" s="293"/>
      <c r="K214" s="293"/>
      <c r="L214" s="293"/>
      <c r="M214" s="293"/>
      <c r="N214" s="293"/>
      <c r="O214" s="293"/>
      <c r="P214" s="293"/>
      <c r="Q214" s="293"/>
      <c r="R214" s="293"/>
      <c r="S214" s="293"/>
      <c r="T214" s="293"/>
      <c r="U214" s="293"/>
      <c r="V214" s="293"/>
      <c r="W214" s="293"/>
      <c r="X214" s="293"/>
    </row>
    <row r="215" spans="1:24" x14ac:dyDescent="0.25">
      <c r="A215" s="293"/>
      <c r="B215" s="293"/>
      <c r="C215" s="293"/>
      <c r="D215" s="293"/>
      <c r="E215" s="293"/>
      <c r="F215" s="293"/>
      <c r="G215" s="293"/>
      <c r="H215" s="293"/>
      <c r="I215" s="293"/>
      <c r="J215" s="293"/>
      <c r="K215" s="293"/>
      <c r="L215" s="293"/>
      <c r="M215" s="293"/>
      <c r="N215" s="293"/>
      <c r="O215" s="293"/>
      <c r="P215" s="293"/>
      <c r="Q215" s="293"/>
      <c r="R215" s="293"/>
      <c r="S215" s="293"/>
      <c r="T215" s="293"/>
      <c r="U215" s="293"/>
      <c r="V215" s="293"/>
      <c r="W215" s="293"/>
      <c r="X215" s="293"/>
    </row>
    <row r="216" spans="1:24" x14ac:dyDescent="0.25">
      <c r="A216" s="293"/>
      <c r="B216" s="293"/>
      <c r="C216" s="293"/>
      <c r="D216" s="293"/>
      <c r="E216" s="293"/>
      <c r="F216" s="293"/>
      <c r="G216" s="293"/>
      <c r="H216" s="293"/>
      <c r="I216" s="293"/>
      <c r="J216" s="293"/>
      <c r="K216" s="293"/>
      <c r="L216" s="293"/>
      <c r="M216" s="293"/>
      <c r="N216" s="293"/>
      <c r="O216" s="293"/>
      <c r="P216" s="293"/>
      <c r="Q216" s="293"/>
      <c r="R216" s="293"/>
      <c r="S216" s="293"/>
      <c r="T216" s="293"/>
      <c r="U216" s="293"/>
      <c r="V216" s="293"/>
      <c r="W216" s="293"/>
      <c r="X216" s="293"/>
    </row>
    <row r="217" spans="1:24" x14ac:dyDescent="0.25">
      <c r="A217" s="293"/>
      <c r="B217" s="293"/>
      <c r="C217" s="293"/>
      <c r="D217" s="293"/>
      <c r="E217" s="293"/>
      <c r="F217" s="293"/>
      <c r="G217" s="293"/>
      <c r="H217" s="293"/>
      <c r="I217" s="293"/>
      <c r="J217" s="293"/>
      <c r="K217" s="293"/>
      <c r="L217" s="293"/>
      <c r="M217" s="293"/>
      <c r="N217" s="293"/>
      <c r="O217" s="293"/>
      <c r="P217" s="293"/>
      <c r="Q217" s="293"/>
      <c r="R217" s="293"/>
      <c r="S217" s="293"/>
      <c r="T217" s="293"/>
      <c r="U217" s="293"/>
      <c r="V217" s="293"/>
      <c r="W217" s="293"/>
      <c r="X217" s="293"/>
    </row>
    <row r="218" spans="1:24" x14ac:dyDescent="0.25">
      <c r="A218" s="293"/>
      <c r="B218" s="293"/>
      <c r="C218" s="293"/>
      <c r="D218" s="293"/>
      <c r="E218" s="293"/>
      <c r="F218" s="293"/>
      <c r="G218" s="293"/>
      <c r="H218" s="293"/>
      <c r="I218" s="293"/>
      <c r="J218" s="293"/>
      <c r="K218" s="293"/>
      <c r="L218" s="293"/>
      <c r="M218" s="293"/>
      <c r="N218" s="293"/>
      <c r="O218" s="293"/>
      <c r="P218" s="293"/>
      <c r="Q218" s="293"/>
      <c r="R218" s="293"/>
      <c r="S218" s="293"/>
      <c r="T218" s="293"/>
      <c r="U218" s="293"/>
      <c r="V218" s="293"/>
      <c r="W218" s="293"/>
      <c r="X218" s="293"/>
    </row>
    <row r="219" spans="1:24" x14ac:dyDescent="0.25">
      <c r="A219" s="293"/>
      <c r="B219" s="293"/>
      <c r="C219" s="293"/>
      <c r="D219" s="293"/>
      <c r="E219" s="293"/>
      <c r="F219" s="293"/>
      <c r="G219" s="293"/>
      <c r="H219" s="293"/>
      <c r="I219" s="293"/>
      <c r="J219" s="293"/>
      <c r="K219" s="293"/>
      <c r="L219" s="293"/>
      <c r="M219" s="293"/>
      <c r="N219" s="293"/>
      <c r="O219" s="293"/>
      <c r="P219" s="293"/>
      <c r="Q219" s="293"/>
      <c r="R219" s="293"/>
      <c r="S219" s="293"/>
      <c r="T219" s="293"/>
      <c r="U219" s="293"/>
      <c r="V219" s="293"/>
      <c r="W219" s="293"/>
      <c r="X219" s="293"/>
    </row>
    <row r="220" spans="1:24" x14ac:dyDescent="0.25">
      <c r="A220" s="293"/>
      <c r="B220" s="293"/>
      <c r="C220" s="293"/>
      <c r="D220" s="293"/>
      <c r="E220" s="293"/>
      <c r="F220" s="293"/>
      <c r="G220" s="293"/>
      <c r="H220" s="293"/>
      <c r="I220" s="293"/>
      <c r="J220" s="293"/>
      <c r="K220" s="293"/>
      <c r="L220" s="293"/>
      <c r="M220" s="293"/>
      <c r="N220" s="293"/>
      <c r="O220" s="293"/>
      <c r="P220" s="293"/>
      <c r="Q220" s="293"/>
      <c r="R220" s="293"/>
      <c r="S220" s="293"/>
      <c r="T220" s="293"/>
      <c r="U220" s="293"/>
      <c r="V220" s="293"/>
      <c r="W220" s="293"/>
      <c r="X220" s="293"/>
    </row>
    <row r="221" spans="1:24" x14ac:dyDescent="0.25">
      <c r="A221" s="293"/>
      <c r="B221" s="293"/>
      <c r="C221" s="293"/>
      <c r="D221" s="293"/>
      <c r="E221" s="293"/>
      <c r="F221" s="293"/>
      <c r="G221" s="293"/>
      <c r="H221" s="293"/>
      <c r="I221" s="293"/>
      <c r="J221" s="293"/>
      <c r="K221" s="293"/>
      <c r="L221" s="293"/>
      <c r="M221" s="293"/>
      <c r="N221" s="293"/>
      <c r="O221" s="293"/>
      <c r="P221" s="293"/>
      <c r="Q221" s="293"/>
      <c r="R221" s="293"/>
      <c r="S221" s="293"/>
      <c r="T221" s="293"/>
      <c r="U221" s="293"/>
      <c r="V221" s="293"/>
      <c r="W221" s="293"/>
      <c r="X221" s="293"/>
    </row>
    <row r="222" spans="1:24" x14ac:dyDescent="0.25">
      <c r="A222" s="293"/>
      <c r="B222" s="293"/>
      <c r="C222" s="293"/>
      <c r="D222" s="293"/>
      <c r="E222" s="293"/>
      <c r="F222" s="293"/>
      <c r="G222" s="293"/>
      <c r="H222" s="293"/>
      <c r="I222" s="293"/>
      <c r="J222" s="293"/>
      <c r="K222" s="293"/>
      <c r="L222" s="293"/>
      <c r="M222" s="293"/>
      <c r="N222" s="293"/>
      <c r="O222" s="293"/>
      <c r="P222" s="293"/>
      <c r="Q222" s="293"/>
      <c r="R222" s="293"/>
      <c r="S222" s="293"/>
      <c r="T222" s="293"/>
      <c r="U222" s="293"/>
      <c r="V222" s="293"/>
      <c r="W222" s="293"/>
      <c r="X222" s="293"/>
    </row>
    <row r="223" spans="1:24" x14ac:dyDescent="0.25">
      <c r="A223" s="293"/>
      <c r="B223" s="293"/>
      <c r="C223" s="293"/>
      <c r="D223" s="293"/>
      <c r="E223" s="293"/>
      <c r="F223" s="293"/>
      <c r="G223" s="293"/>
      <c r="H223" s="293"/>
      <c r="I223" s="293"/>
      <c r="J223" s="293"/>
      <c r="K223" s="293"/>
      <c r="L223" s="293"/>
      <c r="M223" s="293"/>
      <c r="N223" s="293"/>
      <c r="O223" s="293"/>
      <c r="P223" s="293"/>
      <c r="Q223" s="293"/>
      <c r="R223" s="293"/>
      <c r="S223" s="293"/>
      <c r="T223" s="293"/>
      <c r="U223" s="293"/>
      <c r="V223" s="293"/>
      <c r="W223" s="293"/>
      <c r="X223" s="293"/>
    </row>
    <row r="224" spans="1:24" x14ac:dyDescent="0.25">
      <c r="A224" s="293"/>
      <c r="B224" s="293"/>
      <c r="C224" s="293"/>
      <c r="D224" s="293"/>
      <c r="E224" s="293"/>
      <c r="F224" s="293"/>
      <c r="G224" s="293"/>
      <c r="H224" s="293"/>
      <c r="I224" s="293"/>
      <c r="J224" s="293"/>
      <c r="K224" s="293"/>
      <c r="L224" s="293"/>
      <c r="M224" s="293"/>
      <c r="N224" s="293"/>
      <c r="O224" s="293"/>
      <c r="P224" s="293"/>
      <c r="Q224" s="293"/>
      <c r="R224" s="293"/>
      <c r="S224" s="293"/>
      <c r="T224" s="293"/>
      <c r="U224" s="293"/>
      <c r="V224" s="293"/>
      <c r="W224" s="293"/>
      <c r="X224" s="293"/>
    </row>
    <row r="225" spans="1:24" x14ac:dyDescent="0.25">
      <c r="A225" s="293"/>
      <c r="B225" s="293"/>
      <c r="C225" s="293"/>
      <c r="D225" s="293"/>
      <c r="E225" s="293"/>
      <c r="F225" s="293"/>
      <c r="G225" s="293"/>
      <c r="H225" s="293"/>
      <c r="I225" s="293"/>
      <c r="J225" s="293"/>
      <c r="K225" s="293"/>
      <c r="L225" s="293"/>
      <c r="M225" s="293"/>
      <c r="N225" s="293"/>
      <c r="O225" s="293"/>
      <c r="P225" s="293"/>
      <c r="Q225" s="293"/>
      <c r="R225" s="293"/>
      <c r="S225" s="293"/>
      <c r="T225" s="293"/>
      <c r="U225" s="293"/>
      <c r="V225" s="293"/>
      <c r="W225" s="293"/>
      <c r="X225" s="293"/>
    </row>
    <row r="226" spans="1:24" x14ac:dyDescent="0.25">
      <c r="A226" s="293"/>
      <c r="B226" s="293"/>
      <c r="C226" s="293"/>
      <c r="D226" s="293"/>
      <c r="E226" s="293"/>
      <c r="F226" s="293"/>
      <c r="G226" s="293"/>
      <c r="H226" s="293"/>
      <c r="I226" s="293"/>
      <c r="J226" s="293"/>
      <c r="K226" s="293"/>
      <c r="L226" s="293"/>
      <c r="M226" s="293"/>
      <c r="N226" s="293"/>
      <c r="O226" s="293"/>
      <c r="P226" s="293"/>
      <c r="Q226" s="293"/>
      <c r="R226" s="293"/>
      <c r="S226" s="293"/>
      <c r="T226" s="293"/>
      <c r="U226" s="293"/>
      <c r="V226" s="293"/>
      <c r="W226" s="293"/>
      <c r="X226" s="293"/>
    </row>
    <row r="227" spans="1:24" x14ac:dyDescent="0.25">
      <c r="A227" s="293"/>
      <c r="B227" s="293"/>
      <c r="C227" s="293"/>
      <c r="D227" s="293"/>
      <c r="E227" s="293"/>
      <c r="F227" s="293"/>
      <c r="G227" s="293"/>
      <c r="H227" s="293"/>
      <c r="I227" s="293"/>
      <c r="J227" s="293"/>
      <c r="K227" s="293"/>
      <c r="L227" s="293"/>
      <c r="M227" s="293"/>
      <c r="N227" s="293"/>
      <c r="O227" s="293"/>
      <c r="P227" s="293"/>
      <c r="Q227" s="293"/>
      <c r="R227" s="293"/>
      <c r="S227" s="293"/>
      <c r="T227" s="293"/>
      <c r="U227" s="293"/>
      <c r="V227" s="293"/>
      <c r="W227" s="293"/>
      <c r="X227" s="293"/>
    </row>
    <row r="228" spans="1:24" x14ac:dyDescent="0.25">
      <c r="A228" s="293"/>
      <c r="B228" s="293"/>
      <c r="C228" s="293"/>
      <c r="D228" s="293"/>
      <c r="E228" s="293"/>
      <c r="F228" s="293"/>
      <c r="G228" s="293"/>
      <c r="H228" s="293"/>
      <c r="I228" s="293"/>
      <c r="J228" s="293"/>
      <c r="K228" s="293"/>
      <c r="L228" s="293"/>
      <c r="M228" s="293"/>
      <c r="N228" s="293"/>
      <c r="O228" s="293"/>
      <c r="P228" s="293"/>
      <c r="Q228" s="293"/>
      <c r="R228" s="293"/>
      <c r="S228" s="293"/>
      <c r="T228" s="293"/>
      <c r="U228" s="293"/>
      <c r="V228" s="293"/>
      <c r="W228" s="293"/>
      <c r="X228" s="293"/>
    </row>
    <row r="229" spans="1:24" x14ac:dyDescent="0.25">
      <c r="A229" s="293"/>
      <c r="B229" s="293"/>
      <c r="C229" s="293"/>
      <c r="D229" s="293"/>
      <c r="E229" s="293"/>
      <c r="F229" s="293"/>
      <c r="G229" s="293"/>
      <c r="H229" s="293"/>
      <c r="I229" s="293"/>
      <c r="J229" s="293"/>
      <c r="K229" s="293"/>
      <c r="L229" s="293"/>
      <c r="M229" s="293"/>
      <c r="N229" s="293"/>
      <c r="O229" s="293"/>
      <c r="P229" s="293"/>
      <c r="Q229" s="293"/>
      <c r="R229" s="293"/>
      <c r="S229" s="293"/>
      <c r="T229" s="293"/>
      <c r="U229" s="293"/>
      <c r="V229" s="293"/>
      <c r="W229" s="293"/>
      <c r="X229" s="293"/>
    </row>
    <row r="230" spans="1:24" x14ac:dyDescent="0.25">
      <c r="A230" s="293"/>
      <c r="B230" s="293"/>
      <c r="C230" s="293"/>
      <c r="D230" s="293"/>
      <c r="E230" s="293"/>
      <c r="F230" s="293"/>
      <c r="G230" s="293"/>
      <c r="H230" s="293"/>
      <c r="I230" s="293"/>
      <c r="J230" s="293"/>
      <c r="K230" s="293"/>
      <c r="L230" s="293"/>
      <c r="M230" s="293"/>
      <c r="N230" s="293"/>
      <c r="O230" s="293"/>
      <c r="P230" s="293"/>
      <c r="Q230" s="293"/>
      <c r="R230" s="293"/>
      <c r="S230" s="293"/>
      <c r="T230" s="293"/>
      <c r="U230" s="293"/>
      <c r="V230" s="293"/>
      <c r="W230" s="293"/>
      <c r="X230" s="293"/>
    </row>
    <row r="231" spans="1:24" x14ac:dyDescent="0.25">
      <c r="A231" s="293"/>
      <c r="B231" s="293"/>
      <c r="C231" s="293"/>
      <c r="D231" s="293"/>
      <c r="E231" s="293"/>
      <c r="F231" s="293"/>
      <c r="G231" s="293"/>
      <c r="H231" s="293"/>
      <c r="I231" s="293"/>
      <c r="J231" s="293"/>
      <c r="K231" s="293"/>
      <c r="L231" s="293"/>
      <c r="M231" s="293"/>
      <c r="N231" s="293"/>
      <c r="O231" s="293"/>
      <c r="P231" s="293"/>
      <c r="Q231" s="293"/>
      <c r="R231" s="293"/>
      <c r="S231" s="293"/>
      <c r="T231" s="293"/>
      <c r="U231" s="293"/>
      <c r="V231" s="293"/>
      <c r="W231" s="293"/>
      <c r="X231" s="293"/>
    </row>
    <row r="232" spans="1:24" x14ac:dyDescent="0.25">
      <c r="A232" s="293"/>
      <c r="B232" s="293"/>
      <c r="C232" s="293"/>
      <c r="D232" s="293"/>
      <c r="E232" s="293"/>
      <c r="F232" s="293"/>
      <c r="G232" s="293"/>
      <c r="H232" s="293"/>
      <c r="I232" s="293"/>
      <c r="J232" s="293"/>
      <c r="K232" s="293"/>
      <c r="L232" s="293"/>
      <c r="M232" s="293"/>
      <c r="N232" s="293"/>
      <c r="O232" s="293"/>
      <c r="P232" s="293"/>
      <c r="Q232" s="293"/>
      <c r="R232" s="293"/>
      <c r="S232" s="293"/>
      <c r="T232" s="293"/>
      <c r="U232" s="293"/>
      <c r="V232" s="293"/>
      <c r="W232" s="293"/>
      <c r="X232" s="293"/>
    </row>
    <row r="233" spans="1:24" x14ac:dyDescent="0.25">
      <c r="A233" s="293"/>
      <c r="B233" s="293"/>
      <c r="C233" s="293"/>
      <c r="D233" s="293"/>
      <c r="E233" s="293"/>
      <c r="F233" s="293"/>
      <c r="G233" s="293"/>
      <c r="H233" s="293"/>
      <c r="I233" s="293"/>
      <c r="J233" s="293"/>
      <c r="K233" s="293"/>
      <c r="L233" s="293"/>
      <c r="M233" s="293"/>
      <c r="N233" s="293"/>
      <c r="O233" s="293"/>
      <c r="P233" s="293"/>
      <c r="Q233" s="293"/>
      <c r="R233" s="293"/>
      <c r="S233" s="293"/>
      <c r="T233" s="293"/>
      <c r="U233" s="293"/>
      <c r="V233" s="293"/>
      <c r="W233" s="293"/>
      <c r="X233" s="293"/>
    </row>
    <row r="234" spans="1:24" x14ac:dyDescent="0.25">
      <c r="A234" s="293"/>
      <c r="B234" s="293"/>
      <c r="C234" s="293"/>
      <c r="D234" s="293"/>
      <c r="E234" s="293"/>
      <c r="F234" s="293"/>
      <c r="G234" s="293"/>
      <c r="H234" s="293"/>
      <c r="I234" s="293"/>
      <c r="J234" s="293"/>
      <c r="K234" s="293"/>
      <c r="L234" s="293"/>
      <c r="M234" s="293"/>
      <c r="N234" s="293"/>
      <c r="O234" s="293"/>
      <c r="P234" s="293"/>
      <c r="Q234" s="293"/>
      <c r="R234" s="293"/>
      <c r="S234" s="293"/>
      <c r="T234" s="293"/>
      <c r="U234" s="293"/>
      <c r="V234" s="293"/>
      <c r="W234" s="293"/>
      <c r="X234" s="293"/>
    </row>
    <row r="235" spans="1:24" x14ac:dyDescent="0.25">
      <c r="A235" s="293"/>
      <c r="B235" s="293"/>
      <c r="C235" s="293"/>
      <c r="D235" s="293"/>
      <c r="E235" s="293"/>
      <c r="F235" s="293"/>
      <c r="G235" s="293"/>
      <c r="H235" s="293"/>
      <c r="I235" s="293"/>
      <c r="J235" s="293"/>
      <c r="K235" s="293"/>
      <c r="L235" s="293"/>
      <c r="M235" s="293"/>
      <c r="N235" s="293"/>
      <c r="O235" s="293"/>
      <c r="P235" s="293"/>
      <c r="Q235" s="293"/>
      <c r="R235" s="293"/>
      <c r="S235" s="293"/>
      <c r="T235" s="293"/>
      <c r="U235" s="293"/>
      <c r="V235" s="293"/>
      <c r="W235" s="293"/>
      <c r="X235" s="293"/>
    </row>
    <row r="236" spans="1:24" x14ac:dyDescent="0.25">
      <c r="A236" s="293"/>
      <c r="B236" s="293"/>
      <c r="C236" s="293"/>
      <c r="D236" s="293"/>
      <c r="E236" s="293"/>
      <c r="F236" s="293"/>
      <c r="G236" s="293"/>
      <c r="H236" s="293"/>
      <c r="I236" s="293"/>
      <c r="J236" s="293"/>
      <c r="K236" s="293"/>
      <c r="L236" s="293"/>
      <c r="M236" s="293"/>
      <c r="N236" s="293"/>
      <c r="O236" s="293"/>
      <c r="P236" s="293"/>
      <c r="Q236" s="293"/>
      <c r="R236" s="293"/>
      <c r="S236" s="293"/>
      <c r="T236" s="293"/>
      <c r="U236" s="293"/>
      <c r="V236" s="293"/>
      <c r="W236" s="293"/>
      <c r="X236" s="293"/>
    </row>
    <row r="237" spans="1:24" x14ac:dyDescent="0.25">
      <c r="A237" s="293"/>
      <c r="B237" s="293"/>
      <c r="C237" s="293"/>
      <c r="D237" s="293"/>
      <c r="E237" s="293"/>
      <c r="F237" s="293"/>
      <c r="G237" s="293"/>
      <c r="H237" s="293"/>
      <c r="I237" s="293"/>
      <c r="J237" s="293"/>
      <c r="K237" s="293"/>
      <c r="L237" s="293"/>
      <c r="M237" s="293"/>
      <c r="N237" s="293"/>
      <c r="O237" s="293"/>
      <c r="P237" s="293"/>
      <c r="Q237" s="293"/>
      <c r="R237" s="293"/>
      <c r="S237" s="293"/>
      <c r="T237" s="293"/>
      <c r="U237" s="293"/>
      <c r="V237" s="293"/>
      <c r="W237" s="293"/>
      <c r="X237" s="293"/>
    </row>
    <row r="238" spans="1:24" x14ac:dyDescent="0.25">
      <c r="A238" s="293"/>
      <c r="B238" s="293"/>
      <c r="C238" s="293"/>
      <c r="D238" s="293"/>
      <c r="E238" s="293"/>
      <c r="F238" s="293"/>
      <c r="G238" s="293"/>
      <c r="H238" s="293"/>
      <c r="I238" s="293"/>
      <c r="J238" s="293"/>
      <c r="K238" s="293"/>
      <c r="L238" s="293"/>
      <c r="M238" s="293"/>
      <c r="N238" s="293"/>
      <c r="O238" s="293"/>
      <c r="P238" s="293"/>
      <c r="Q238" s="293"/>
      <c r="R238" s="293"/>
      <c r="S238" s="293"/>
      <c r="T238" s="293"/>
      <c r="U238" s="293"/>
      <c r="V238" s="293"/>
      <c r="W238" s="293"/>
      <c r="X238" s="293"/>
    </row>
    <row r="239" spans="1:24" x14ac:dyDescent="0.25">
      <c r="A239" s="293"/>
      <c r="B239" s="293"/>
      <c r="C239" s="293"/>
      <c r="D239" s="293"/>
      <c r="E239" s="293"/>
      <c r="F239" s="293"/>
      <c r="G239" s="293"/>
      <c r="H239" s="293"/>
      <c r="I239" s="293"/>
      <c r="J239" s="293"/>
      <c r="K239" s="293"/>
      <c r="L239" s="293"/>
      <c r="M239" s="293"/>
      <c r="N239" s="293"/>
      <c r="O239" s="293"/>
      <c r="P239" s="293"/>
      <c r="Q239" s="293"/>
      <c r="R239" s="293"/>
      <c r="S239" s="293"/>
      <c r="T239" s="293"/>
      <c r="U239" s="293"/>
      <c r="V239" s="293"/>
      <c r="W239" s="293"/>
      <c r="X239" s="293"/>
    </row>
    <row r="240" spans="1:24" x14ac:dyDescent="0.25">
      <c r="A240" s="293"/>
      <c r="B240" s="293"/>
      <c r="C240" s="293"/>
      <c r="D240" s="293"/>
      <c r="E240" s="293"/>
      <c r="F240" s="293"/>
      <c r="G240" s="293"/>
      <c r="H240" s="293"/>
      <c r="I240" s="293"/>
      <c r="J240" s="293"/>
      <c r="K240" s="293"/>
      <c r="L240" s="293"/>
      <c r="M240" s="293"/>
      <c r="N240" s="293"/>
      <c r="O240" s="293"/>
      <c r="P240" s="293"/>
      <c r="Q240" s="293"/>
      <c r="R240" s="293"/>
      <c r="S240" s="293"/>
      <c r="T240" s="293"/>
      <c r="U240" s="293"/>
      <c r="V240" s="293"/>
      <c r="W240" s="293"/>
      <c r="X240" s="293"/>
    </row>
    <row r="241" spans="1:24" x14ac:dyDescent="0.25">
      <c r="A241" s="293"/>
      <c r="B241" s="293"/>
      <c r="C241" s="293"/>
      <c r="D241" s="293"/>
      <c r="E241" s="293"/>
      <c r="F241" s="293"/>
      <c r="G241" s="293"/>
      <c r="H241" s="293"/>
      <c r="I241" s="293"/>
      <c r="J241" s="293"/>
      <c r="K241" s="293"/>
      <c r="L241" s="293"/>
      <c r="M241" s="293"/>
      <c r="N241" s="293"/>
      <c r="O241" s="293"/>
      <c r="P241" s="293"/>
      <c r="Q241" s="293"/>
      <c r="R241" s="293"/>
      <c r="S241" s="293"/>
      <c r="T241" s="293"/>
      <c r="U241" s="293"/>
      <c r="V241" s="293"/>
      <c r="W241" s="293"/>
      <c r="X241" s="293"/>
    </row>
    <row r="242" spans="1:24" x14ac:dyDescent="0.25">
      <c r="A242" s="293"/>
      <c r="B242" s="293"/>
      <c r="C242" s="293"/>
      <c r="D242" s="293"/>
      <c r="E242" s="293"/>
      <c r="F242" s="293"/>
      <c r="G242" s="293"/>
      <c r="H242" s="293"/>
      <c r="I242" s="293"/>
      <c r="J242" s="293"/>
      <c r="K242" s="293"/>
      <c r="L242" s="293"/>
      <c r="M242" s="293"/>
      <c r="N242" s="293"/>
      <c r="O242" s="293"/>
      <c r="P242" s="293"/>
      <c r="Q242" s="293"/>
      <c r="R242" s="293"/>
      <c r="S242" s="293"/>
      <c r="T242" s="293"/>
      <c r="U242" s="293"/>
      <c r="V242" s="293"/>
      <c r="W242" s="293"/>
      <c r="X242" s="293"/>
    </row>
    <row r="243" spans="1:24" x14ac:dyDescent="0.25">
      <c r="A243" s="293"/>
      <c r="B243" s="293"/>
      <c r="C243" s="293"/>
      <c r="D243" s="293"/>
      <c r="E243" s="293"/>
      <c r="F243" s="293"/>
      <c r="G243" s="293"/>
      <c r="H243" s="293"/>
      <c r="I243" s="293"/>
      <c r="J243" s="293"/>
      <c r="K243" s="293"/>
      <c r="L243" s="293"/>
      <c r="M243" s="293"/>
      <c r="N243" s="293"/>
      <c r="O243" s="293"/>
      <c r="P243" s="293"/>
      <c r="Q243" s="293"/>
      <c r="R243" s="293"/>
      <c r="S243" s="293"/>
      <c r="T243" s="293"/>
      <c r="U243" s="293"/>
      <c r="V243" s="293"/>
      <c r="W243" s="293"/>
      <c r="X243" s="293"/>
    </row>
    <row r="244" spans="1:24" x14ac:dyDescent="0.25">
      <c r="A244" s="293"/>
      <c r="B244" s="293"/>
      <c r="C244" s="293"/>
      <c r="D244" s="293"/>
      <c r="E244" s="293"/>
      <c r="F244" s="293"/>
      <c r="G244" s="293"/>
      <c r="H244" s="293"/>
      <c r="I244" s="293"/>
      <c r="J244" s="293"/>
      <c r="K244" s="293"/>
      <c r="L244" s="293"/>
      <c r="M244" s="293"/>
      <c r="N244" s="293"/>
      <c r="O244" s="293"/>
      <c r="P244" s="293"/>
      <c r="Q244" s="293"/>
      <c r="R244" s="293"/>
      <c r="S244" s="293"/>
      <c r="T244" s="293"/>
      <c r="U244" s="293"/>
      <c r="V244" s="293"/>
      <c r="W244" s="293"/>
      <c r="X244" s="293"/>
    </row>
    <row r="245" spans="1:24" x14ac:dyDescent="0.25">
      <c r="A245" s="293"/>
      <c r="B245" s="293"/>
      <c r="C245" s="293"/>
      <c r="D245" s="293"/>
      <c r="E245" s="293"/>
      <c r="F245" s="293"/>
      <c r="G245" s="293"/>
      <c r="H245" s="293"/>
      <c r="I245" s="293"/>
      <c r="J245" s="293"/>
      <c r="K245" s="293"/>
      <c r="L245" s="293"/>
      <c r="M245" s="293"/>
      <c r="N245" s="293"/>
      <c r="O245" s="293"/>
      <c r="P245" s="293"/>
      <c r="Q245" s="293"/>
      <c r="R245" s="293"/>
      <c r="S245" s="293"/>
      <c r="T245" s="293"/>
      <c r="U245" s="293"/>
      <c r="V245" s="293"/>
      <c r="W245" s="293"/>
      <c r="X245" s="293"/>
    </row>
    <row r="246" spans="1:24" x14ac:dyDescent="0.25">
      <c r="A246" s="293"/>
      <c r="B246" s="293"/>
      <c r="C246" s="293"/>
      <c r="D246" s="293"/>
      <c r="E246" s="293"/>
      <c r="F246" s="293"/>
      <c r="G246" s="293"/>
      <c r="H246" s="293"/>
      <c r="I246" s="293"/>
      <c r="J246" s="293"/>
      <c r="K246" s="293"/>
      <c r="L246" s="293"/>
      <c r="M246" s="293"/>
      <c r="N246" s="293"/>
      <c r="O246" s="293"/>
      <c r="P246" s="293"/>
      <c r="Q246" s="293"/>
      <c r="R246" s="293"/>
      <c r="S246" s="293"/>
      <c r="T246" s="293"/>
      <c r="U246" s="293"/>
      <c r="V246" s="293"/>
      <c r="W246" s="293"/>
      <c r="X246" s="293"/>
    </row>
    <row r="247" spans="1:24" x14ac:dyDescent="0.25">
      <c r="A247" s="293"/>
      <c r="B247" s="293"/>
      <c r="C247" s="293"/>
      <c r="D247" s="293"/>
      <c r="E247" s="293"/>
      <c r="F247" s="293"/>
      <c r="G247" s="293"/>
      <c r="H247" s="293"/>
      <c r="I247" s="293"/>
      <c r="J247" s="293"/>
      <c r="K247" s="293"/>
      <c r="L247" s="293"/>
      <c r="M247" s="293"/>
      <c r="N247" s="293"/>
      <c r="O247" s="293"/>
      <c r="P247" s="293"/>
      <c r="Q247" s="293"/>
      <c r="R247" s="293"/>
      <c r="S247" s="293"/>
      <c r="T247" s="293"/>
      <c r="U247" s="293"/>
      <c r="V247" s="293"/>
      <c r="W247" s="293"/>
      <c r="X247" s="293"/>
    </row>
    <row r="248" spans="1:24" x14ac:dyDescent="0.25">
      <c r="A248" s="293"/>
      <c r="B248" s="293"/>
      <c r="C248" s="293"/>
      <c r="D248" s="293"/>
      <c r="E248" s="293"/>
      <c r="F248" s="293"/>
      <c r="G248" s="293"/>
      <c r="H248" s="293"/>
      <c r="I248" s="293"/>
      <c r="J248" s="293"/>
      <c r="K248" s="293"/>
      <c r="L248" s="293"/>
      <c r="M248" s="293"/>
      <c r="N248" s="293"/>
      <c r="O248" s="293"/>
      <c r="P248" s="293"/>
      <c r="Q248" s="293"/>
      <c r="R248" s="293"/>
      <c r="S248" s="293"/>
      <c r="T248" s="293"/>
      <c r="U248" s="293"/>
      <c r="V248" s="293"/>
      <c r="W248" s="293"/>
      <c r="X248" s="293"/>
    </row>
    <row r="249" spans="1:24" x14ac:dyDescent="0.25">
      <c r="A249" s="293"/>
      <c r="B249" s="293"/>
      <c r="C249" s="293"/>
      <c r="D249" s="293"/>
      <c r="E249" s="293"/>
      <c r="F249" s="293"/>
      <c r="G249" s="293"/>
      <c r="H249" s="293"/>
      <c r="I249" s="293"/>
      <c r="J249" s="293"/>
      <c r="K249" s="293"/>
      <c r="L249" s="293"/>
      <c r="M249" s="293"/>
      <c r="N249" s="293"/>
      <c r="O249" s="293"/>
      <c r="P249" s="293"/>
      <c r="Q249" s="293"/>
      <c r="R249" s="293"/>
      <c r="S249" s="293"/>
      <c r="T249" s="293"/>
      <c r="U249" s="293"/>
      <c r="V249" s="293"/>
      <c r="W249" s="293"/>
      <c r="X249" s="293"/>
    </row>
    <row r="250" spans="1:24" x14ac:dyDescent="0.25">
      <c r="A250" s="293"/>
      <c r="B250" s="293"/>
      <c r="C250" s="293"/>
      <c r="D250" s="293"/>
      <c r="E250" s="293"/>
      <c r="F250" s="293"/>
      <c r="G250" s="293"/>
      <c r="H250" s="293"/>
      <c r="I250" s="293"/>
      <c r="J250" s="293"/>
      <c r="K250" s="293"/>
      <c r="L250" s="293"/>
      <c r="M250" s="293"/>
      <c r="N250" s="293"/>
      <c r="O250" s="293"/>
      <c r="P250" s="293"/>
      <c r="Q250" s="293"/>
      <c r="R250" s="293"/>
      <c r="S250" s="293"/>
      <c r="T250" s="293"/>
      <c r="U250" s="293"/>
      <c r="V250" s="293"/>
      <c r="W250" s="293"/>
      <c r="X250" s="293"/>
    </row>
    <row r="251" spans="1:24" x14ac:dyDescent="0.25">
      <c r="A251" s="293"/>
      <c r="B251" s="293"/>
      <c r="C251" s="293"/>
      <c r="D251" s="293"/>
      <c r="E251" s="293"/>
      <c r="F251" s="293"/>
      <c r="G251" s="293"/>
      <c r="H251" s="293"/>
      <c r="I251" s="293"/>
      <c r="J251" s="293"/>
      <c r="K251" s="293"/>
      <c r="L251" s="293"/>
      <c r="M251" s="293"/>
      <c r="N251" s="293"/>
      <c r="O251" s="293"/>
      <c r="P251" s="293"/>
      <c r="Q251" s="293"/>
      <c r="R251" s="293"/>
      <c r="S251" s="293"/>
      <c r="T251" s="293"/>
      <c r="U251" s="293"/>
      <c r="V251" s="293"/>
      <c r="W251" s="293"/>
      <c r="X251" s="293"/>
    </row>
    <row r="252" spans="1:24" x14ac:dyDescent="0.25">
      <c r="A252" s="293"/>
      <c r="B252" s="293"/>
      <c r="C252" s="293"/>
      <c r="D252" s="293"/>
      <c r="E252" s="293"/>
      <c r="F252" s="293"/>
      <c r="G252" s="293"/>
      <c r="H252" s="293"/>
      <c r="I252" s="293"/>
      <c r="J252" s="293"/>
      <c r="K252" s="293"/>
      <c r="L252" s="293"/>
      <c r="M252" s="293"/>
      <c r="N252" s="293"/>
      <c r="O252" s="293"/>
      <c r="P252" s="293"/>
      <c r="Q252" s="293"/>
      <c r="R252" s="293"/>
      <c r="S252" s="293"/>
      <c r="T252" s="293"/>
      <c r="U252" s="293"/>
      <c r="V252" s="293"/>
      <c r="W252" s="293"/>
      <c r="X252" s="293"/>
    </row>
    <row r="253" spans="1:24" x14ac:dyDescent="0.25">
      <c r="A253" s="293"/>
      <c r="B253" s="293"/>
      <c r="C253" s="293"/>
      <c r="D253" s="293"/>
      <c r="E253" s="293"/>
      <c r="F253" s="293"/>
      <c r="G253" s="293"/>
      <c r="H253" s="293"/>
      <c r="I253" s="293"/>
      <c r="J253" s="293"/>
      <c r="K253" s="293"/>
      <c r="L253" s="293"/>
      <c r="M253" s="293"/>
      <c r="N253" s="293"/>
      <c r="O253" s="293"/>
      <c r="P253" s="293"/>
      <c r="Q253" s="293"/>
      <c r="R253" s="293"/>
      <c r="S253" s="293"/>
      <c r="T253" s="293"/>
      <c r="U253" s="293"/>
      <c r="V253" s="293"/>
      <c r="W253" s="293"/>
      <c r="X253" s="293"/>
    </row>
    <row r="254" spans="1:24" x14ac:dyDescent="0.25">
      <c r="A254" s="293"/>
      <c r="B254" s="293"/>
      <c r="C254" s="293"/>
      <c r="D254" s="293"/>
      <c r="E254" s="293"/>
      <c r="F254" s="293"/>
      <c r="G254" s="293"/>
      <c r="H254" s="293"/>
      <c r="I254" s="293"/>
      <c r="J254" s="293"/>
      <c r="K254" s="293"/>
      <c r="L254" s="293"/>
      <c r="M254" s="293"/>
      <c r="N254" s="293"/>
      <c r="O254" s="293"/>
      <c r="P254" s="293"/>
      <c r="Q254" s="293"/>
      <c r="R254" s="293"/>
      <c r="S254" s="293"/>
      <c r="T254" s="293"/>
      <c r="U254" s="293"/>
      <c r="V254" s="293"/>
      <c r="W254" s="293"/>
      <c r="X254" s="293"/>
    </row>
    <row r="255" spans="1:24" x14ac:dyDescent="0.25">
      <c r="A255" s="293"/>
      <c r="B255" s="293"/>
      <c r="C255" s="293"/>
      <c r="D255" s="293"/>
      <c r="E255" s="293"/>
      <c r="F255" s="293"/>
      <c r="G255" s="293"/>
      <c r="H255" s="293"/>
      <c r="I255" s="293"/>
      <c r="J255" s="293"/>
      <c r="K255" s="293"/>
      <c r="L255" s="293"/>
      <c r="M255" s="293"/>
      <c r="N255" s="293"/>
      <c r="O255" s="293"/>
      <c r="P255" s="293"/>
      <c r="Q255" s="293"/>
      <c r="R255" s="293"/>
      <c r="S255" s="293"/>
      <c r="T255" s="293"/>
      <c r="U255" s="293"/>
      <c r="V255" s="293"/>
      <c r="W255" s="293"/>
      <c r="X255" s="293"/>
    </row>
    <row r="256" spans="1:24" x14ac:dyDescent="0.25">
      <c r="A256" s="293"/>
      <c r="B256" s="293"/>
      <c r="C256" s="293"/>
      <c r="D256" s="293"/>
      <c r="E256" s="293"/>
      <c r="F256" s="293"/>
      <c r="G256" s="293"/>
      <c r="H256" s="293"/>
      <c r="I256" s="293"/>
      <c r="J256" s="293"/>
      <c r="K256" s="293"/>
      <c r="L256" s="293"/>
      <c r="M256" s="293"/>
      <c r="N256" s="293"/>
      <c r="O256" s="293"/>
      <c r="P256" s="293"/>
      <c r="Q256" s="293"/>
      <c r="R256" s="293"/>
      <c r="S256" s="293"/>
      <c r="T256" s="293"/>
      <c r="U256" s="293"/>
      <c r="V256" s="293"/>
      <c r="W256" s="293"/>
      <c r="X256" s="293"/>
    </row>
    <row r="257" spans="1:24" x14ac:dyDescent="0.25">
      <c r="A257" s="293"/>
      <c r="B257" s="293"/>
      <c r="C257" s="293"/>
      <c r="D257" s="293"/>
      <c r="E257" s="293"/>
      <c r="F257" s="293"/>
      <c r="G257" s="293"/>
      <c r="H257" s="293"/>
      <c r="I257" s="293"/>
      <c r="J257" s="293"/>
      <c r="K257" s="293"/>
      <c r="L257" s="293"/>
      <c r="M257" s="293"/>
      <c r="N257" s="293"/>
      <c r="O257" s="293"/>
      <c r="P257" s="293"/>
      <c r="Q257" s="293"/>
      <c r="R257" s="293"/>
      <c r="S257" s="293"/>
      <c r="T257" s="293"/>
      <c r="U257" s="293"/>
      <c r="V257" s="293"/>
      <c r="W257" s="293"/>
      <c r="X257" s="293"/>
    </row>
    <row r="258" spans="1:24" x14ac:dyDescent="0.25">
      <c r="A258" s="293"/>
      <c r="B258" s="293"/>
      <c r="C258" s="293"/>
      <c r="D258" s="293"/>
      <c r="E258" s="293"/>
      <c r="F258" s="293"/>
      <c r="G258" s="293"/>
      <c r="H258" s="293"/>
      <c r="I258" s="293"/>
      <c r="J258" s="293"/>
      <c r="K258" s="293"/>
      <c r="L258" s="293"/>
      <c r="M258" s="293"/>
      <c r="N258" s="293"/>
      <c r="O258" s="293"/>
      <c r="P258" s="293"/>
      <c r="Q258" s="293"/>
      <c r="R258" s="293"/>
      <c r="S258" s="293"/>
      <c r="T258" s="293"/>
      <c r="U258" s="293"/>
      <c r="V258" s="293"/>
      <c r="W258" s="293"/>
      <c r="X258" s="293"/>
    </row>
    <row r="259" spans="1:24" x14ac:dyDescent="0.25">
      <c r="A259" s="293"/>
      <c r="B259" s="293"/>
      <c r="C259" s="293"/>
      <c r="D259" s="293"/>
      <c r="E259" s="293"/>
      <c r="F259" s="293"/>
      <c r="G259" s="293"/>
      <c r="H259" s="293"/>
      <c r="I259" s="293"/>
      <c r="J259" s="293"/>
      <c r="K259" s="293"/>
      <c r="L259" s="293"/>
      <c r="M259" s="293"/>
      <c r="N259" s="293"/>
      <c r="O259" s="293"/>
      <c r="P259" s="293"/>
      <c r="Q259" s="293"/>
      <c r="R259" s="293"/>
      <c r="S259" s="293"/>
      <c r="T259" s="293"/>
      <c r="U259" s="293"/>
      <c r="V259" s="293"/>
      <c r="W259" s="293"/>
      <c r="X259" s="293"/>
    </row>
    <row r="260" spans="1:24" x14ac:dyDescent="0.25">
      <c r="A260" s="293"/>
      <c r="B260" s="293"/>
      <c r="C260" s="293"/>
      <c r="D260" s="293"/>
      <c r="E260" s="293"/>
      <c r="F260" s="293"/>
      <c r="G260" s="293"/>
      <c r="H260" s="293"/>
      <c r="I260" s="293"/>
      <c r="J260" s="293"/>
      <c r="K260" s="293"/>
      <c r="L260" s="293"/>
      <c r="M260" s="293"/>
      <c r="N260" s="293"/>
      <c r="O260" s="293"/>
      <c r="P260" s="293"/>
      <c r="Q260" s="293"/>
      <c r="R260" s="293"/>
      <c r="S260" s="293"/>
      <c r="T260" s="293"/>
      <c r="U260" s="293"/>
      <c r="V260" s="293"/>
      <c r="W260" s="293"/>
      <c r="X260" s="293"/>
    </row>
    <row r="261" spans="1:24" x14ac:dyDescent="0.25">
      <c r="A261" s="293"/>
      <c r="B261" s="293"/>
      <c r="C261" s="293"/>
      <c r="D261" s="293"/>
      <c r="E261" s="293"/>
      <c r="F261" s="293"/>
      <c r="G261" s="293"/>
      <c r="H261" s="293"/>
      <c r="I261" s="293"/>
      <c r="J261" s="293"/>
      <c r="K261" s="293"/>
      <c r="L261" s="293"/>
      <c r="M261" s="293"/>
      <c r="N261" s="293"/>
      <c r="O261" s="293"/>
      <c r="P261" s="293"/>
      <c r="Q261" s="293"/>
      <c r="R261" s="293"/>
      <c r="S261" s="293"/>
      <c r="T261" s="293"/>
      <c r="U261" s="293"/>
      <c r="V261" s="293"/>
      <c r="W261" s="293"/>
      <c r="X261" s="293"/>
    </row>
    <row r="262" spans="1:24" x14ac:dyDescent="0.25">
      <c r="A262" s="293"/>
      <c r="B262" s="293"/>
      <c r="C262" s="293"/>
      <c r="D262" s="293"/>
      <c r="E262" s="293"/>
      <c r="F262" s="293"/>
      <c r="G262" s="293"/>
      <c r="H262" s="293"/>
      <c r="I262" s="293"/>
      <c r="J262" s="293"/>
      <c r="K262" s="293"/>
      <c r="L262" s="293"/>
      <c r="M262" s="293"/>
      <c r="N262" s="293"/>
      <c r="O262" s="293"/>
      <c r="P262" s="293"/>
      <c r="Q262" s="293"/>
      <c r="R262" s="293"/>
      <c r="S262" s="293"/>
      <c r="T262" s="293"/>
      <c r="U262" s="293"/>
      <c r="V262" s="293"/>
      <c r="W262" s="293"/>
      <c r="X262" s="293"/>
    </row>
    <row r="263" spans="1:24" x14ac:dyDescent="0.25">
      <c r="A263" s="293"/>
      <c r="B263" s="293"/>
      <c r="C263" s="293"/>
      <c r="D263" s="293"/>
      <c r="E263" s="293"/>
      <c r="F263" s="293"/>
      <c r="G263" s="293"/>
      <c r="H263" s="293"/>
      <c r="I263" s="293"/>
      <c r="J263" s="293"/>
      <c r="K263" s="293"/>
      <c r="L263" s="293"/>
      <c r="M263" s="293"/>
      <c r="N263" s="293"/>
      <c r="O263" s="293"/>
      <c r="P263" s="293"/>
      <c r="Q263" s="293"/>
      <c r="R263" s="293"/>
      <c r="S263" s="293"/>
      <c r="T263" s="293"/>
      <c r="U263" s="293"/>
      <c r="V263" s="293"/>
      <c r="W263" s="293"/>
      <c r="X263" s="293"/>
    </row>
    <row r="264" spans="1:24" x14ac:dyDescent="0.25">
      <c r="A264" s="293"/>
      <c r="B264" s="293"/>
      <c r="C264" s="293"/>
      <c r="D264" s="293"/>
      <c r="E264" s="293"/>
      <c r="F264" s="293"/>
      <c r="G264" s="293"/>
      <c r="H264" s="293"/>
      <c r="I264" s="293"/>
      <c r="J264" s="293"/>
      <c r="K264" s="293"/>
      <c r="L264" s="293"/>
      <c r="M264" s="293"/>
      <c r="N264" s="293"/>
      <c r="O264" s="293"/>
      <c r="P264" s="293"/>
      <c r="Q264" s="293"/>
      <c r="R264" s="293"/>
      <c r="S264" s="293"/>
      <c r="T264" s="293"/>
      <c r="U264" s="293"/>
      <c r="V264" s="293"/>
      <c r="W264" s="293"/>
      <c r="X264" s="293"/>
    </row>
    <row r="265" spans="1:24" x14ac:dyDescent="0.25">
      <c r="A265" s="293"/>
      <c r="B265" s="293"/>
      <c r="C265" s="293"/>
      <c r="D265" s="293"/>
      <c r="E265" s="293"/>
      <c r="F265" s="293"/>
      <c r="G265" s="293"/>
      <c r="H265" s="293"/>
      <c r="I265" s="293"/>
      <c r="J265" s="293"/>
      <c r="K265" s="293"/>
      <c r="L265" s="293"/>
      <c r="M265" s="293"/>
      <c r="N265" s="293"/>
      <c r="O265" s="293"/>
      <c r="P265" s="293"/>
      <c r="Q265" s="293"/>
      <c r="R265" s="293"/>
      <c r="S265" s="293"/>
      <c r="T265" s="293"/>
      <c r="U265" s="293"/>
      <c r="V265" s="293"/>
      <c r="W265" s="293"/>
      <c r="X265" s="293"/>
    </row>
    <row r="266" spans="1:24" x14ac:dyDescent="0.25">
      <c r="A266" s="293"/>
      <c r="B266" s="293"/>
      <c r="C266" s="293"/>
      <c r="D266" s="293"/>
      <c r="E266" s="293"/>
      <c r="F266" s="293"/>
      <c r="G266" s="293"/>
      <c r="H266" s="293"/>
      <c r="I266" s="293"/>
      <c r="J266" s="293"/>
      <c r="K266" s="293"/>
      <c r="L266" s="293"/>
      <c r="M266" s="293"/>
      <c r="N266" s="293"/>
      <c r="O266" s="293"/>
      <c r="P266" s="293"/>
      <c r="Q266" s="293"/>
      <c r="R266" s="293"/>
      <c r="S266" s="293"/>
      <c r="T266" s="293"/>
      <c r="U266" s="293"/>
      <c r="V266" s="293"/>
      <c r="W266" s="293"/>
      <c r="X266" s="293"/>
    </row>
    <row r="267" spans="1:24" x14ac:dyDescent="0.25">
      <c r="A267" s="293"/>
      <c r="B267" s="293"/>
      <c r="C267" s="293"/>
      <c r="D267" s="293"/>
      <c r="E267" s="293"/>
      <c r="F267" s="293"/>
      <c r="G267" s="293"/>
      <c r="H267" s="293"/>
      <c r="I267" s="293"/>
      <c r="J267" s="293"/>
      <c r="K267" s="293"/>
      <c r="L267" s="293"/>
      <c r="M267" s="293"/>
      <c r="N267" s="293"/>
      <c r="O267" s="293"/>
      <c r="P267" s="293"/>
      <c r="Q267" s="293"/>
      <c r="R267" s="293"/>
      <c r="S267" s="293"/>
      <c r="T267" s="293"/>
      <c r="U267" s="293"/>
      <c r="V267" s="293"/>
      <c r="W267" s="293"/>
      <c r="X267" s="293"/>
    </row>
    <row r="268" spans="1:24" x14ac:dyDescent="0.25">
      <c r="A268" s="293"/>
      <c r="B268" s="293"/>
      <c r="C268" s="293"/>
      <c r="D268" s="293"/>
      <c r="E268" s="293"/>
      <c r="F268" s="293"/>
      <c r="G268" s="293"/>
      <c r="H268" s="293"/>
      <c r="I268" s="293"/>
      <c r="J268" s="293"/>
      <c r="K268" s="293"/>
      <c r="L268" s="293"/>
      <c r="M268" s="293"/>
      <c r="N268" s="293"/>
      <c r="O268" s="293"/>
      <c r="P268" s="293"/>
      <c r="Q268" s="293"/>
      <c r="R268" s="293"/>
      <c r="S268" s="293"/>
      <c r="T268" s="293"/>
      <c r="U268" s="293"/>
      <c r="V268" s="293"/>
      <c r="W268" s="293"/>
      <c r="X268" s="293"/>
    </row>
    <row r="269" spans="1:24" x14ac:dyDescent="0.25">
      <c r="A269" s="293"/>
      <c r="B269" s="293"/>
      <c r="C269" s="293"/>
      <c r="D269" s="293"/>
      <c r="E269" s="293"/>
      <c r="F269" s="293"/>
      <c r="G269" s="293"/>
      <c r="H269" s="293"/>
      <c r="I269" s="293"/>
      <c r="J269" s="293"/>
      <c r="K269" s="293"/>
      <c r="L269" s="293"/>
      <c r="M269" s="293"/>
      <c r="N269" s="293"/>
      <c r="O269" s="293"/>
      <c r="P269" s="293"/>
      <c r="Q269" s="293"/>
      <c r="R269" s="293"/>
      <c r="S269" s="293"/>
      <c r="T269" s="293"/>
      <c r="U269" s="293"/>
      <c r="V269" s="293"/>
      <c r="W269" s="293"/>
      <c r="X269" s="293"/>
    </row>
    <row r="270" spans="1:24" x14ac:dyDescent="0.25">
      <c r="A270" s="293"/>
      <c r="B270" s="293"/>
      <c r="C270" s="293"/>
      <c r="D270" s="293"/>
      <c r="E270" s="293"/>
      <c r="F270" s="293"/>
      <c r="G270" s="293"/>
      <c r="H270" s="293"/>
      <c r="I270" s="293"/>
      <c r="J270" s="293"/>
      <c r="K270" s="293"/>
      <c r="L270" s="293"/>
      <c r="M270" s="293"/>
      <c r="N270" s="293"/>
      <c r="O270" s="293"/>
      <c r="P270" s="293"/>
      <c r="Q270" s="293"/>
      <c r="R270" s="293"/>
      <c r="S270" s="293"/>
      <c r="T270" s="293"/>
      <c r="U270" s="293"/>
      <c r="V270" s="293"/>
      <c r="W270" s="293"/>
      <c r="X270" s="293"/>
    </row>
    <row r="271" spans="1:24" x14ac:dyDescent="0.25">
      <c r="A271" s="293"/>
      <c r="B271" s="293"/>
      <c r="C271" s="293"/>
      <c r="D271" s="293"/>
      <c r="E271" s="293"/>
      <c r="F271" s="293"/>
      <c r="G271" s="293"/>
      <c r="H271" s="293"/>
      <c r="I271" s="293"/>
      <c r="J271" s="293"/>
      <c r="K271" s="293"/>
      <c r="L271" s="293"/>
      <c r="M271" s="293"/>
      <c r="N271" s="293"/>
      <c r="O271" s="293"/>
      <c r="P271" s="293"/>
      <c r="Q271" s="293"/>
      <c r="R271" s="293"/>
      <c r="S271" s="293"/>
      <c r="T271" s="293"/>
      <c r="U271" s="293"/>
      <c r="V271" s="293"/>
      <c r="W271" s="293"/>
      <c r="X271" s="293"/>
    </row>
    <row r="272" spans="1:24" x14ac:dyDescent="0.25">
      <c r="A272" s="293"/>
      <c r="B272" s="293"/>
      <c r="C272" s="293"/>
      <c r="D272" s="293"/>
      <c r="E272" s="293"/>
      <c r="F272" s="293"/>
      <c r="G272" s="293"/>
      <c r="H272" s="293"/>
      <c r="I272" s="293"/>
      <c r="J272" s="293"/>
      <c r="K272" s="293"/>
      <c r="L272" s="293"/>
      <c r="M272" s="293"/>
      <c r="N272" s="293"/>
      <c r="O272" s="293"/>
      <c r="P272" s="293"/>
      <c r="Q272" s="293"/>
      <c r="R272" s="293"/>
      <c r="S272" s="293"/>
      <c r="T272" s="293"/>
      <c r="U272" s="293"/>
      <c r="V272" s="293"/>
      <c r="W272" s="293"/>
      <c r="X272" s="293"/>
    </row>
    <row r="273" spans="1:24" x14ac:dyDescent="0.25">
      <c r="A273" s="293"/>
      <c r="B273" s="293"/>
      <c r="C273" s="293"/>
      <c r="D273" s="293"/>
      <c r="E273" s="293"/>
      <c r="F273" s="293"/>
      <c r="G273" s="293"/>
      <c r="H273" s="293"/>
      <c r="I273" s="293"/>
      <c r="J273" s="293"/>
      <c r="K273" s="293"/>
      <c r="L273" s="293"/>
      <c r="M273" s="293"/>
      <c r="N273" s="293"/>
      <c r="O273" s="293"/>
      <c r="P273" s="293"/>
      <c r="Q273" s="293"/>
      <c r="R273" s="293"/>
      <c r="S273" s="293"/>
      <c r="T273" s="293"/>
      <c r="U273" s="293"/>
      <c r="V273" s="293"/>
      <c r="W273" s="293"/>
      <c r="X273" s="293"/>
    </row>
    <row r="274" spans="1:24" x14ac:dyDescent="0.25">
      <c r="A274" s="293"/>
      <c r="B274" s="293"/>
      <c r="C274" s="293"/>
      <c r="D274" s="293"/>
      <c r="E274" s="293"/>
      <c r="F274" s="293"/>
      <c r="G274" s="293"/>
      <c r="H274" s="293"/>
      <c r="I274" s="293"/>
      <c r="J274" s="293"/>
      <c r="K274" s="293"/>
      <c r="L274" s="293"/>
      <c r="M274" s="293"/>
      <c r="N274" s="293"/>
      <c r="O274" s="293"/>
      <c r="P274" s="293"/>
      <c r="Q274" s="293"/>
      <c r="R274" s="293"/>
      <c r="S274" s="293"/>
      <c r="T274" s="293"/>
      <c r="U274" s="293"/>
      <c r="V274" s="293"/>
      <c r="W274" s="293"/>
      <c r="X274" s="293"/>
    </row>
    <row r="275" spans="1:24" x14ac:dyDescent="0.25">
      <c r="A275" s="293"/>
      <c r="B275" s="293"/>
      <c r="C275" s="293"/>
      <c r="D275" s="293"/>
      <c r="E275" s="293"/>
      <c r="F275" s="293"/>
      <c r="G275" s="293"/>
      <c r="H275" s="293"/>
      <c r="I275" s="293"/>
      <c r="J275" s="293"/>
      <c r="K275" s="293"/>
      <c r="L275" s="293"/>
      <c r="M275" s="293"/>
      <c r="N275" s="293"/>
      <c r="O275" s="293"/>
      <c r="P275" s="293"/>
      <c r="Q275" s="293"/>
      <c r="R275" s="293"/>
      <c r="S275" s="293"/>
      <c r="T275" s="293"/>
      <c r="U275" s="293"/>
      <c r="V275" s="293"/>
      <c r="W275" s="293"/>
      <c r="X275" s="293"/>
    </row>
    <row r="276" spans="1:24" x14ac:dyDescent="0.25">
      <c r="A276" s="293"/>
      <c r="B276" s="293"/>
      <c r="C276" s="293"/>
      <c r="D276" s="293"/>
      <c r="E276" s="293"/>
      <c r="F276" s="293"/>
      <c r="G276" s="293"/>
      <c r="H276" s="293"/>
      <c r="I276" s="293"/>
      <c r="J276" s="293"/>
      <c r="K276" s="293"/>
      <c r="L276" s="293"/>
      <c r="M276" s="293"/>
      <c r="N276" s="293"/>
      <c r="O276" s="293"/>
      <c r="P276" s="293"/>
      <c r="Q276" s="293"/>
      <c r="R276" s="293"/>
      <c r="S276" s="293"/>
      <c r="T276" s="293"/>
      <c r="U276" s="293"/>
      <c r="V276" s="293"/>
      <c r="W276" s="293"/>
      <c r="X276" s="293"/>
    </row>
    <row r="277" spans="1:24" x14ac:dyDescent="0.25">
      <c r="A277" s="293"/>
      <c r="B277" s="293"/>
      <c r="C277" s="293"/>
      <c r="D277" s="293"/>
      <c r="E277" s="293"/>
      <c r="F277" s="293"/>
      <c r="G277" s="293"/>
      <c r="H277" s="293"/>
      <c r="I277" s="293"/>
      <c r="J277" s="293"/>
      <c r="K277" s="293"/>
      <c r="L277" s="293"/>
      <c r="M277" s="293"/>
      <c r="N277" s="293"/>
      <c r="O277" s="293"/>
      <c r="P277" s="293"/>
      <c r="Q277" s="293"/>
      <c r="R277" s="293"/>
      <c r="S277" s="293"/>
      <c r="T277" s="293"/>
      <c r="U277" s="293"/>
      <c r="V277" s="293"/>
      <c r="W277" s="293"/>
      <c r="X277" s="293"/>
    </row>
    <row r="278" spans="1:24" x14ac:dyDescent="0.25">
      <c r="A278" s="293"/>
      <c r="B278" s="293"/>
      <c r="C278" s="293"/>
      <c r="D278" s="293"/>
      <c r="E278" s="293"/>
      <c r="F278" s="293"/>
      <c r="G278" s="293"/>
      <c r="H278" s="293"/>
      <c r="I278" s="293"/>
      <c r="J278" s="293"/>
      <c r="K278" s="293"/>
      <c r="L278" s="293"/>
      <c r="M278" s="293"/>
      <c r="N278" s="293"/>
      <c r="O278" s="293"/>
      <c r="P278" s="293"/>
      <c r="Q278" s="293"/>
      <c r="R278" s="293"/>
      <c r="S278" s="293"/>
      <c r="T278" s="293"/>
      <c r="U278" s="293"/>
      <c r="V278" s="293"/>
      <c r="W278" s="293"/>
      <c r="X278" s="293"/>
    </row>
    <row r="279" spans="1:24" x14ac:dyDescent="0.25">
      <c r="A279" s="293"/>
      <c r="B279" s="293"/>
      <c r="C279" s="293"/>
      <c r="D279" s="293"/>
      <c r="E279" s="293"/>
      <c r="F279" s="293"/>
      <c r="G279" s="293"/>
      <c r="H279" s="293"/>
      <c r="I279" s="293"/>
      <c r="J279" s="293"/>
      <c r="K279" s="293"/>
      <c r="L279" s="293"/>
      <c r="M279" s="293"/>
      <c r="N279" s="293"/>
      <c r="O279" s="293"/>
      <c r="P279" s="293"/>
      <c r="Q279" s="293"/>
      <c r="R279" s="293"/>
      <c r="S279" s="293"/>
      <c r="T279" s="293"/>
      <c r="U279" s="293"/>
      <c r="V279" s="293"/>
      <c r="W279" s="293"/>
      <c r="X279" s="293"/>
    </row>
    <row r="280" spans="1:24" x14ac:dyDescent="0.25">
      <c r="A280" s="293"/>
      <c r="B280" s="293"/>
      <c r="C280" s="293"/>
      <c r="D280" s="293"/>
      <c r="E280" s="293"/>
      <c r="F280" s="293"/>
      <c r="G280" s="293"/>
      <c r="H280" s="293"/>
      <c r="I280" s="293"/>
      <c r="J280" s="293"/>
      <c r="K280" s="293"/>
      <c r="L280" s="293"/>
      <c r="M280" s="293"/>
      <c r="N280" s="293"/>
      <c r="O280" s="293"/>
      <c r="P280" s="293"/>
      <c r="Q280" s="293"/>
      <c r="R280" s="293"/>
      <c r="S280" s="293"/>
      <c r="T280" s="293"/>
      <c r="U280" s="293"/>
      <c r="V280" s="293"/>
      <c r="W280" s="293"/>
      <c r="X280" s="293"/>
    </row>
    <row r="281" spans="1:24" x14ac:dyDescent="0.25">
      <c r="A281" s="293"/>
      <c r="B281" s="293"/>
      <c r="C281" s="293"/>
      <c r="D281" s="293"/>
      <c r="E281" s="293"/>
      <c r="F281" s="293"/>
      <c r="G281" s="293"/>
      <c r="H281" s="293"/>
      <c r="I281" s="293"/>
      <c r="J281" s="293"/>
      <c r="K281" s="293"/>
      <c r="L281" s="293"/>
      <c r="M281" s="293"/>
      <c r="N281" s="293"/>
      <c r="O281" s="293"/>
      <c r="P281" s="293"/>
      <c r="Q281" s="293"/>
      <c r="R281" s="293"/>
      <c r="S281" s="293"/>
      <c r="T281" s="293"/>
      <c r="U281" s="293"/>
      <c r="V281" s="293"/>
      <c r="W281" s="293"/>
      <c r="X281" s="293"/>
    </row>
    <row r="282" spans="1:24" x14ac:dyDescent="0.25">
      <c r="A282" s="293"/>
      <c r="B282" s="293"/>
      <c r="C282" s="293"/>
      <c r="D282" s="293"/>
      <c r="E282" s="293"/>
      <c r="F282" s="293"/>
      <c r="G282" s="293"/>
      <c r="H282" s="293"/>
      <c r="I282" s="293"/>
      <c r="J282" s="293"/>
      <c r="K282" s="293"/>
      <c r="L282" s="293"/>
      <c r="M282" s="293"/>
      <c r="N282" s="293"/>
      <c r="O282" s="293"/>
      <c r="P282" s="293"/>
      <c r="Q282" s="293"/>
      <c r="R282" s="293"/>
      <c r="S282" s="293"/>
      <c r="T282" s="293"/>
      <c r="U282" s="293"/>
      <c r="V282" s="293"/>
      <c r="W282" s="293"/>
      <c r="X282" s="293"/>
    </row>
    <row r="283" spans="1:24" x14ac:dyDescent="0.25">
      <c r="A283" s="293"/>
      <c r="B283" s="293"/>
      <c r="C283" s="293"/>
      <c r="D283" s="293"/>
      <c r="E283" s="293"/>
      <c r="F283" s="293"/>
      <c r="G283" s="293"/>
      <c r="H283" s="293"/>
      <c r="I283" s="293"/>
      <c r="J283" s="293"/>
      <c r="K283" s="293"/>
      <c r="L283" s="293"/>
      <c r="M283" s="293"/>
      <c r="N283" s="293"/>
      <c r="O283" s="293"/>
      <c r="P283" s="293"/>
      <c r="Q283" s="293"/>
      <c r="R283" s="293"/>
      <c r="S283" s="293"/>
      <c r="T283" s="293"/>
      <c r="U283" s="293"/>
      <c r="V283" s="293"/>
      <c r="W283" s="293"/>
      <c r="X283" s="293"/>
    </row>
    <row r="284" spans="1:24" x14ac:dyDescent="0.25">
      <c r="A284" s="293"/>
      <c r="B284" s="293"/>
      <c r="C284" s="293"/>
      <c r="D284" s="293"/>
      <c r="E284" s="293"/>
      <c r="F284" s="293"/>
      <c r="G284" s="293"/>
      <c r="H284" s="293"/>
      <c r="I284" s="293"/>
      <c r="J284" s="293"/>
      <c r="K284" s="293"/>
      <c r="L284" s="293"/>
      <c r="M284" s="293"/>
      <c r="N284" s="293"/>
      <c r="O284" s="293"/>
      <c r="P284" s="293"/>
      <c r="Q284" s="293"/>
      <c r="R284" s="293"/>
      <c r="S284" s="293"/>
      <c r="T284" s="293"/>
      <c r="U284" s="293"/>
      <c r="V284" s="293"/>
      <c r="W284" s="293"/>
      <c r="X284" s="293"/>
    </row>
    <row r="285" spans="1:24" x14ac:dyDescent="0.25">
      <c r="A285" s="293"/>
      <c r="B285" s="293"/>
      <c r="C285" s="293"/>
      <c r="D285" s="293"/>
      <c r="E285" s="293"/>
      <c r="F285" s="293"/>
      <c r="G285" s="293"/>
      <c r="H285" s="293"/>
      <c r="I285" s="293"/>
      <c r="J285" s="293"/>
      <c r="K285" s="293"/>
      <c r="L285" s="293"/>
      <c r="M285" s="293"/>
      <c r="N285" s="293"/>
      <c r="O285" s="293"/>
      <c r="P285" s="293"/>
      <c r="Q285" s="293"/>
      <c r="R285" s="293"/>
      <c r="S285" s="293"/>
      <c r="T285" s="293"/>
      <c r="U285" s="293"/>
      <c r="V285" s="293"/>
      <c r="W285" s="293"/>
      <c r="X285" s="293"/>
    </row>
    <row r="286" spans="1:24" x14ac:dyDescent="0.25">
      <c r="A286" s="293"/>
      <c r="B286" s="293"/>
      <c r="C286" s="293"/>
      <c r="D286" s="293"/>
      <c r="E286" s="293"/>
      <c r="F286" s="293"/>
      <c r="G286" s="293"/>
      <c r="H286" s="293"/>
      <c r="I286" s="293"/>
      <c r="J286" s="293"/>
      <c r="K286" s="293"/>
      <c r="L286" s="293"/>
      <c r="M286" s="293"/>
      <c r="N286" s="293"/>
      <c r="O286" s="293"/>
      <c r="P286" s="293"/>
      <c r="Q286" s="293"/>
      <c r="R286" s="293"/>
      <c r="S286" s="293"/>
      <c r="T286" s="293"/>
      <c r="U286" s="293"/>
      <c r="V286" s="293"/>
      <c r="W286" s="293"/>
      <c r="X286" s="293"/>
    </row>
    <row r="287" spans="1:24" x14ac:dyDescent="0.25">
      <c r="A287" s="293"/>
      <c r="B287" s="293"/>
      <c r="C287" s="293"/>
      <c r="D287" s="293"/>
      <c r="E287" s="293"/>
      <c r="F287" s="293"/>
      <c r="G287" s="293"/>
      <c r="H287" s="293"/>
      <c r="I287" s="293"/>
      <c r="J287" s="293"/>
      <c r="K287" s="293"/>
      <c r="L287" s="293"/>
      <c r="M287" s="293"/>
      <c r="N287" s="293"/>
      <c r="O287" s="293"/>
      <c r="P287" s="293"/>
      <c r="Q287" s="293"/>
      <c r="R287" s="293"/>
      <c r="S287" s="293"/>
      <c r="T287" s="293"/>
      <c r="U287" s="293"/>
      <c r="V287" s="293"/>
      <c r="W287" s="293"/>
      <c r="X287" s="293"/>
    </row>
    <row r="288" spans="1:24" x14ac:dyDescent="0.25">
      <c r="A288" s="293"/>
      <c r="B288" s="293"/>
      <c r="C288" s="293"/>
      <c r="D288" s="293"/>
      <c r="E288" s="293"/>
      <c r="F288" s="293"/>
      <c r="G288" s="293"/>
      <c r="H288" s="293"/>
      <c r="I288" s="293"/>
      <c r="J288" s="293"/>
      <c r="K288" s="293"/>
      <c r="L288" s="293"/>
      <c r="M288" s="293"/>
      <c r="N288" s="293"/>
      <c r="O288" s="293"/>
      <c r="P288" s="293"/>
      <c r="Q288" s="293"/>
      <c r="R288" s="293"/>
      <c r="S288" s="293"/>
      <c r="T288" s="293"/>
      <c r="U288" s="293"/>
      <c r="V288" s="293"/>
      <c r="W288" s="293"/>
      <c r="X288" s="293"/>
    </row>
    <row r="289" spans="1:24" x14ac:dyDescent="0.25">
      <c r="A289" s="293"/>
      <c r="B289" s="293"/>
      <c r="C289" s="293"/>
      <c r="D289" s="293"/>
      <c r="E289" s="293"/>
      <c r="F289" s="293"/>
      <c r="G289" s="293"/>
      <c r="H289" s="293"/>
      <c r="I289" s="293"/>
      <c r="J289" s="293"/>
      <c r="K289" s="293"/>
      <c r="L289" s="293"/>
      <c r="M289" s="293"/>
      <c r="N289" s="293"/>
      <c r="O289" s="293"/>
      <c r="P289" s="293"/>
      <c r="Q289" s="293"/>
      <c r="R289" s="293"/>
      <c r="S289" s="293"/>
      <c r="T289" s="293"/>
      <c r="U289" s="293"/>
      <c r="V289" s="293"/>
      <c r="W289" s="293"/>
      <c r="X289" s="293"/>
    </row>
    <row r="290" spans="1:24" x14ac:dyDescent="0.25">
      <c r="A290" s="293"/>
      <c r="B290" s="293"/>
      <c r="C290" s="293"/>
      <c r="D290" s="293"/>
      <c r="E290" s="293"/>
      <c r="F290" s="293"/>
      <c r="G290" s="293"/>
      <c r="H290" s="293"/>
      <c r="I290" s="293"/>
      <c r="J290" s="293"/>
      <c r="K290" s="293"/>
      <c r="L290" s="293"/>
      <c r="M290" s="293"/>
      <c r="N290" s="293"/>
      <c r="O290" s="293"/>
      <c r="P290" s="293"/>
      <c r="Q290" s="293"/>
      <c r="R290" s="293"/>
      <c r="S290" s="293"/>
      <c r="T290" s="293"/>
      <c r="U290" s="293"/>
      <c r="V290" s="293"/>
      <c r="W290" s="293"/>
      <c r="X290" s="293"/>
    </row>
    <row r="291" spans="1:24" x14ac:dyDescent="0.25">
      <c r="A291" s="293"/>
      <c r="B291" s="293"/>
      <c r="C291" s="293"/>
      <c r="D291" s="293"/>
      <c r="E291" s="293"/>
      <c r="F291" s="293"/>
      <c r="G291" s="293"/>
      <c r="H291" s="293"/>
      <c r="I291" s="293"/>
      <c r="J291" s="293"/>
      <c r="K291" s="293"/>
      <c r="L291" s="293"/>
      <c r="M291" s="293"/>
      <c r="N291" s="293"/>
      <c r="O291" s="293"/>
      <c r="P291" s="293"/>
      <c r="Q291" s="293"/>
      <c r="R291" s="293"/>
      <c r="S291" s="293"/>
      <c r="T291" s="293"/>
      <c r="U291" s="293"/>
      <c r="V291" s="293"/>
      <c r="W291" s="293"/>
      <c r="X291" s="293"/>
    </row>
    <row r="292" spans="1:24" x14ac:dyDescent="0.25">
      <c r="A292" s="293"/>
      <c r="B292" s="293"/>
      <c r="C292" s="293"/>
      <c r="D292" s="293"/>
      <c r="E292" s="293"/>
      <c r="F292" s="293"/>
      <c r="G292" s="293"/>
      <c r="H292" s="293"/>
      <c r="I292" s="293"/>
      <c r="J292" s="293"/>
      <c r="K292" s="293"/>
      <c r="L292" s="293"/>
      <c r="M292" s="293"/>
      <c r="N292" s="293"/>
      <c r="O292" s="293"/>
      <c r="P292" s="293"/>
      <c r="Q292" s="293"/>
      <c r="R292" s="293"/>
      <c r="S292" s="293"/>
      <c r="T292" s="293"/>
      <c r="U292" s="293"/>
      <c r="V292" s="293"/>
      <c r="W292" s="293"/>
      <c r="X292" s="293"/>
    </row>
    <row r="293" spans="1:24" x14ac:dyDescent="0.25">
      <c r="A293" s="293"/>
      <c r="B293" s="293"/>
      <c r="C293" s="293"/>
      <c r="D293" s="293"/>
      <c r="E293" s="293"/>
      <c r="F293" s="293"/>
      <c r="G293" s="293"/>
      <c r="H293" s="293"/>
      <c r="I293" s="293"/>
      <c r="J293" s="293"/>
      <c r="K293" s="293"/>
      <c r="L293" s="293"/>
      <c r="M293" s="293"/>
      <c r="N293" s="293"/>
      <c r="O293" s="293"/>
      <c r="P293" s="293"/>
      <c r="Q293" s="293"/>
      <c r="R293" s="293"/>
      <c r="S293" s="293"/>
      <c r="T293" s="293"/>
      <c r="U293" s="293"/>
      <c r="V293" s="293"/>
      <c r="W293" s="293"/>
      <c r="X293" s="293"/>
    </row>
    <row r="294" spans="1:24" x14ac:dyDescent="0.25">
      <c r="A294" s="293"/>
      <c r="B294" s="293"/>
      <c r="C294" s="293"/>
      <c r="D294" s="293"/>
      <c r="E294" s="293"/>
      <c r="F294" s="293"/>
      <c r="G294" s="293"/>
      <c r="H294" s="293"/>
      <c r="I294" s="293"/>
      <c r="J294" s="293"/>
      <c r="K294" s="293"/>
      <c r="L294" s="293"/>
      <c r="M294" s="293"/>
      <c r="N294" s="293"/>
      <c r="O294" s="293"/>
      <c r="P294" s="293"/>
      <c r="Q294" s="293"/>
      <c r="R294" s="293"/>
      <c r="S294" s="293"/>
      <c r="T294" s="293"/>
      <c r="U294" s="293"/>
      <c r="V294" s="293"/>
      <c r="W294" s="293"/>
      <c r="X294" s="293"/>
    </row>
    <row r="295" spans="1:24" x14ac:dyDescent="0.25">
      <c r="A295" s="293"/>
      <c r="B295" s="293"/>
      <c r="C295" s="293"/>
      <c r="D295" s="293"/>
      <c r="E295" s="293"/>
      <c r="F295" s="293"/>
      <c r="G295" s="293"/>
      <c r="H295" s="293"/>
      <c r="I295" s="293"/>
      <c r="J295" s="293"/>
      <c r="K295" s="293"/>
      <c r="L295" s="293"/>
      <c r="M295" s="293"/>
      <c r="N295" s="293"/>
      <c r="O295" s="293"/>
      <c r="P295" s="293"/>
      <c r="Q295" s="293"/>
      <c r="R295" s="293"/>
      <c r="S295" s="293"/>
      <c r="T295" s="293"/>
      <c r="U295" s="293"/>
      <c r="V295" s="293"/>
      <c r="W295" s="293"/>
      <c r="X295" s="293"/>
    </row>
    <row r="296" spans="1:24" x14ac:dyDescent="0.25">
      <c r="A296" s="293"/>
      <c r="B296" s="293"/>
      <c r="C296" s="293"/>
      <c r="D296" s="293"/>
      <c r="E296" s="293"/>
      <c r="F296" s="293"/>
      <c r="G296" s="293"/>
      <c r="H296" s="293"/>
      <c r="I296" s="293"/>
      <c r="J296" s="293"/>
      <c r="K296" s="293"/>
      <c r="L296" s="293"/>
      <c r="M296" s="293"/>
      <c r="N296" s="293"/>
      <c r="O296" s="293"/>
      <c r="P296" s="293"/>
      <c r="Q296" s="293"/>
      <c r="R296" s="293"/>
      <c r="S296" s="293"/>
      <c r="T296" s="293"/>
      <c r="U296" s="293"/>
      <c r="V296" s="293"/>
      <c r="W296" s="293"/>
      <c r="X296" s="293"/>
    </row>
    <row r="297" spans="1:24" x14ac:dyDescent="0.25">
      <c r="A297" s="293"/>
      <c r="B297" s="293"/>
      <c r="C297" s="293"/>
      <c r="D297" s="293"/>
      <c r="E297" s="293"/>
      <c r="F297" s="293"/>
      <c r="G297" s="293"/>
      <c r="H297" s="293"/>
      <c r="I297" s="293"/>
      <c r="J297" s="293"/>
      <c r="K297" s="293"/>
      <c r="L297" s="293"/>
      <c r="M297" s="293"/>
      <c r="N297" s="293"/>
      <c r="O297" s="293"/>
      <c r="P297" s="293"/>
      <c r="Q297" s="293"/>
      <c r="R297" s="293"/>
      <c r="S297" s="293"/>
      <c r="T297" s="293"/>
      <c r="U297" s="293"/>
      <c r="V297" s="293"/>
      <c r="W297" s="293"/>
      <c r="X297" s="293"/>
    </row>
    <row r="298" spans="1:24" x14ac:dyDescent="0.25">
      <c r="A298" s="293"/>
      <c r="B298" s="293"/>
      <c r="C298" s="293"/>
      <c r="D298" s="293"/>
      <c r="E298" s="293"/>
      <c r="F298" s="293"/>
      <c r="G298" s="293"/>
      <c r="H298" s="293"/>
      <c r="I298" s="293"/>
      <c r="J298" s="293"/>
      <c r="K298" s="293"/>
      <c r="L298" s="293"/>
      <c r="M298" s="293"/>
      <c r="N298" s="293"/>
      <c r="O298" s="293"/>
      <c r="P298" s="293"/>
      <c r="Q298" s="293"/>
      <c r="R298" s="293"/>
      <c r="S298" s="293"/>
      <c r="T298" s="293"/>
      <c r="U298" s="293"/>
      <c r="V298" s="293"/>
      <c r="W298" s="293"/>
      <c r="X298" s="293"/>
    </row>
    <row r="299" spans="1:24" x14ac:dyDescent="0.25">
      <c r="A299" s="293"/>
      <c r="B299" s="293"/>
      <c r="C299" s="293"/>
      <c r="D299" s="293"/>
      <c r="E299" s="293"/>
      <c r="F299" s="293"/>
      <c r="G299" s="293"/>
      <c r="H299" s="293"/>
      <c r="I299" s="293"/>
      <c r="J299" s="293"/>
      <c r="K299" s="293"/>
      <c r="L299" s="293"/>
      <c r="M299" s="293"/>
      <c r="N299" s="293"/>
      <c r="O299" s="293"/>
      <c r="P299" s="293"/>
      <c r="Q299" s="293"/>
      <c r="R299" s="293"/>
      <c r="S299" s="293"/>
      <c r="T299" s="293"/>
      <c r="U299" s="293"/>
      <c r="V299" s="293"/>
      <c r="W299" s="293"/>
      <c r="X299" s="293"/>
    </row>
    <row r="300" spans="1:24" x14ac:dyDescent="0.25">
      <c r="A300" s="293"/>
      <c r="B300" s="293"/>
      <c r="C300" s="293"/>
      <c r="D300" s="293"/>
      <c r="E300" s="293"/>
      <c r="F300" s="293"/>
      <c r="G300" s="293"/>
      <c r="H300" s="293"/>
      <c r="I300" s="293"/>
      <c r="J300" s="293"/>
      <c r="K300" s="293"/>
      <c r="L300" s="293"/>
      <c r="M300" s="293"/>
      <c r="N300" s="293"/>
      <c r="O300" s="293"/>
      <c r="P300" s="293"/>
      <c r="Q300" s="293"/>
      <c r="R300" s="293"/>
      <c r="S300" s="293"/>
      <c r="T300" s="293"/>
      <c r="U300" s="293"/>
      <c r="V300" s="293"/>
      <c r="W300" s="293"/>
      <c r="X300" s="293"/>
    </row>
    <row r="301" spans="1:24" x14ac:dyDescent="0.25">
      <c r="A301" s="293"/>
      <c r="B301" s="293"/>
      <c r="C301" s="293"/>
      <c r="D301" s="293"/>
      <c r="E301" s="293"/>
      <c r="F301" s="293"/>
      <c r="G301" s="293"/>
      <c r="H301" s="293"/>
      <c r="I301" s="293"/>
      <c r="J301" s="293"/>
      <c r="K301" s="293"/>
      <c r="L301" s="293"/>
      <c r="M301" s="293"/>
      <c r="N301" s="293"/>
      <c r="O301" s="293"/>
      <c r="P301" s="293"/>
      <c r="Q301" s="293"/>
      <c r="R301" s="293"/>
      <c r="S301" s="293"/>
      <c r="T301" s="293"/>
      <c r="U301" s="293"/>
      <c r="V301" s="293"/>
      <c r="W301" s="293"/>
      <c r="X301" s="293"/>
    </row>
    <row r="302" spans="1:24" x14ac:dyDescent="0.25">
      <c r="A302" s="293"/>
      <c r="B302" s="293"/>
      <c r="C302" s="293"/>
      <c r="D302" s="293"/>
      <c r="E302" s="293"/>
      <c r="F302" s="293"/>
      <c r="G302" s="293"/>
      <c r="H302" s="293"/>
      <c r="I302" s="293"/>
      <c r="J302" s="293"/>
      <c r="K302" s="293"/>
      <c r="L302" s="293"/>
      <c r="M302" s="293"/>
      <c r="N302" s="293"/>
      <c r="O302" s="293"/>
      <c r="P302" s="293"/>
      <c r="Q302" s="293"/>
      <c r="R302" s="293"/>
      <c r="S302" s="293"/>
      <c r="T302" s="293"/>
      <c r="U302" s="293"/>
      <c r="V302" s="293"/>
      <c r="W302" s="293"/>
      <c r="X302" s="293"/>
    </row>
    <row r="303" spans="1:24" x14ac:dyDescent="0.25">
      <c r="A303" s="293"/>
      <c r="B303" s="293"/>
      <c r="C303" s="293"/>
      <c r="D303" s="293"/>
      <c r="E303" s="293"/>
      <c r="F303" s="293"/>
      <c r="G303" s="293"/>
      <c r="H303" s="293"/>
      <c r="I303" s="293"/>
      <c r="J303" s="293"/>
      <c r="K303" s="293"/>
      <c r="L303" s="293"/>
      <c r="M303" s="293"/>
      <c r="N303" s="293"/>
      <c r="O303" s="293"/>
      <c r="P303" s="293"/>
      <c r="Q303" s="293"/>
      <c r="R303" s="293"/>
      <c r="S303" s="293"/>
      <c r="T303" s="293"/>
      <c r="U303" s="293"/>
      <c r="V303" s="293"/>
      <c r="W303" s="293"/>
      <c r="X303" s="293"/>
    </row>
    <row r="304" spans="1:24" x14ac:dyDescent="0.25">
      <c r="A304" s="293"/>
      <c r="B304" s="293"/>
      <c r="C304" s="293"/>
      <c r="D304" s="293"/>
      <c r="E304" s="293"/>
      <c r="F304" s="293"/>
      <c r="G304" s="293"/>
      <c r="H304" s="293"/>
      <c r="I304" s="293"/>
      <c r="J304" s="293"/>
      <c r="K304" s="293"/>
      <c r="L304" s="293"/>
      <c r="M304" s="293"/>
      <c r="N304" s="293"/>
      <c r="O304" s="293"/>
      <c r="P304" s="293"/>
      <c r="Q304" s="293"/>
      <c r="R304" s="293"/>
      <c r="S304" s="293"/>
      <c r="T304" s="293"/>
      <c r="U304" s="293"/>
      <c r="V304" s="293"/>
      <c r="W304" s="293"/>
      <c r="X304" s="293"/>
    </row>
    <row r="305" spans="1:24" x14ac:dyDescent="0.25">
      <c r="A305" s="293"/>
      <c r="B305" s="293"/>
      <c r="C305" s="293"/>
      <c r="D305" s="293"/>
      <c r="E305" s="293"/>
      <c r="F305" s="293"/>
      <c r="G305" s="293"/>
      <c r="H305" s="293"/>
      <c r="I305" s="293"/>
      <c r="J305" s="293"/>
      <c r="K305" s="293"/>
      <c r="L305" s="293"/>
      <c r="M305" s="293"/>
      <c r="N305" s="293"/>
      <c r="O305" s="293"/>
      <c r="P305" s="293"/>
      <c r="Q305" s="293"/>
      <c r="R305" s="293"/>
      <c r="S305" s="293"/>
      <c r="T305" s="293"/>
      <c r="U305" s="293"/>
      <c r="V305" s="293"/>
      <c r="W305" s="293"/>
      <c r="X305" s="293"/>
    </row>
    <row r="306" spans="1:24" x14ac:dyDescent="0.25">
      <c r="A306" s="293"/>
      <c r="B306" s="293"/>
      <c r="C306" s="293"/>
      <c r="D306" s="293"/>
      <c r="E306" s="293"/>
      <c r="F306" s="293"/>
      <c r="G306" s="293"/>
      <c r="H306" s="293"/>
      <c r="I306" s="293"/>
      <c r="J306" s="293"/>
      <c r="K306" s="293"/>
      <c r="L306" s="293"/>
      <c r="M306" s="293"/>
      <c r="N306" s="293"/>
      <c r="O306" s="293"/>
      <c r="P306" s="293"/>
      <c r="Q306" s="293"/>
      <c r="R306" s="293"/>
      <c r="S306" s="293"/>
      <c r="T306" s="293"/>
      <c r="U306" s="293"/>
      <c r="V306" s="293"/>
      <c r="W306" s="293"/>
      <c r="X306" s="293"/>
    </row>
    <row r="307" spans="1:24" x14ac:dyDescent="0.25">
      <c r="A307" s="293"/>
      <c r="B307" s="293"/>
      <c r="C307" s="293"/>
      <c r="D307" s="293"/>
      <c r="E307" s="293"/>
      <c r="F307" s="293"/>
      <c r="G307" s="293"/>
      <c r="H307" s="293"/>
      <c r="I307" s="293"/>
      <c r="J307" s="293"/>
      <c r="K307" s="293"/>
      <c r="L307" s="293"/>
      <c r="M307" s="293"/>
      <c r="N307" s="293"/>
      <c r="O307" s="293"/>
      <c r="P307" s="293"/>
      <c r="Q307" s="293"/>
      <c r="R307" s="293"/>
      <c r="S307" s="293"/>
      <c r="T307" s="293"/>
      <c r="U307" s="293"/>
      <c r="V307" s="293"/>
      <c r="W307" s="293"/>
      <c r="X307" s="293"/>
    </row>
    <row r="308" spans="1:24" x14ac:dyDescent="0.25">
      <c r="A308" s="293"/>
      <c r="B308" s="293"/>
      <c r="C308" s="293"/>
      <c r="D308" s="293"/>
      <c r="E308" s="293"/>
      <c r="F308" s="293"/>
      <c r="G308" s="293"/>
      <c r="H308" s="293"/>
      <c r="I308" s="293"/>
      <c r="J308" s="293"/>
      <c r="K308" s="293"/>
      <c r="L308" s="293"/>
      <c r="M308" s="293"/>
      <c r="N308" s="293"/>
      <c r="O308" s="293"/>
      <c r="P308" s="293"/>
      <c r="Q308" s="293"/>
      <c r="R308" s="293"/>
      <c r="S308" s="293"/>
      <c r="T308" s="293"/>
      <c r="U308" s="293"/>
      <c r="V308" s="293"/>
      <c r="W308" s="293"/>
      <c r="X308" s="293"/>
    </row>
    <row r="309" spans="1:24" x14ac:dyDescent="0.25">
      <c r="A309" s="293"/>
      <c r="B309" s="293"/>
      <c r="C309" s="293"/>
      <c r="D309" s="293"/>
      <c r="E309" s="293"/>
      <c r="F309" s="293"/>
      <c r="G309" s="293"/>
      <c r="H309" s="293"/>
      <c r="I309" s="293"/>
      <c r="J309" s="293"/>
      <c r="K309" s="293"/>
      <c r="L309" s="293"/>
      <c r="M309" s="293"/>
      <c r="N309" s="293"/>
      <c r="O309" s="293"/>
      <c r="P309" s="293"/>
      <c r="Q309" s="293"/>
      <c r="R309" s="293"/>
      <c r="S309" s="293"/>
      <c r="T309" s="293"/>
      <c r="U309" s="293"/>
      <c r="V309" s="293"/>
      <c r="W309" s="293"/>
      <c r="X309" s="293"/>
    </row>
    <row r="310" spans="1:24" x14ac:dyDescent="0.25">
      <c r="A310" s="293"/>
      <c r="B310" s="293"/>
      <c r="C310" s="293"/>
      <c r="D310" s="293"/>
      <c r="E310" s="293"/>
      <c r="F310" s="293"/>
      <c r="G310" s="293"/>
      <c r="H310" s="293"/>
      <c r="I310" s="293"/>
      <c r="J310" s="293"/>
      <c r="K310" s="293"/>
      <c r="L310" s="293"/>
      <c r="M310" s="293"/>
      <c r="N310" s="293"/>
      <c r="O310" s="293"/>
      <c r="P310" s="293"/>
      <c r="Q310" s="293"/>
      <c r="R310" s="293"/>
      <c r="S310" s="293"/>
      <c r="T310" s="293"/>
      <c r="U310" s="293"/>
      <c r="V310" s="293"/>
      <c r="W310" s="293"/>
      <c r="X310" s="293"/>
    </row>
    <row r="311" spans="1:24" x14ac:dyDescent="0.25">
      <c r="A311" s="293"/>
      <c r="B311" s="293"/>
      <c r="C311" s="293"/>
      <c r="D311" s="293"/>
      <c r="E311" s="293"/>
      <c r="F311" s="293"/>
      <c r="G311" s="293"/>
      <c r="H311" s="293"/>
      <c r="I311" s="293"/>
      <c r="J311" s="293"/>
      <c r="K311" s="293"/>
      <c r="L311" s="293"/>
      <c r="M311" s="293"/>
      <c r="N311" s="293"/>
      <c r="O311" s="293"/>
      <c r="P311" s="293"/>
      <c r="Q311" s="293"/>
      <c r="R311" s="293"/>
      <c r="S311" s="293"/>
      <c r="T311" s="293"/>
      <c r="U311" s="293"/>
      <c r="V311" s="293"/>
      <c r="W311" s="293"/>
      <c r="X311" s="293"/>
    </row>
    <row r="312" spans="1:24" x14ac:dyDescent="0.25">
      <c r="A312" s="293"/>
      <c r="B312" s="293"/>
      <c r="C312" s="293"/>
      <c r="D312" s="293"/>
      <c r="E312" s="293"/>
      <c r="F312" s="293"/>
      <c r="G312" s="293"/>
      <c r="H312" s="293"/>
      <c r="I312" s="293"/>
      <c r="J312" s="293"/>
      <c r="K312" s="293"/>
      <c r="L312" s="293"/>
      <c r="M312" s="293"/>
      <c r="N312" s="293"/>
      <c r="O312" s="293"/>
      <c r="P312" s="293"/>
      <c r="Q312" s="293"/>
      <c r="R312" s="293"/>
      <c r="S312" s="293"/>
      <c r="T312" s="293"/>
      <c r="U312" s="293"/>
      <c r="V312" s="293"/>
      <c r="W312" s="293"/>
      <c r="X312" s="293"/>
    </row>
    <row r="313" spans="1:24" x14ac:dyDescent="0.25">
      <c r="A313" s="293"/>
      <c r="B313" s="293"/>
      <c r="C313" s="293"/>
      <c r="D313" s="293"/>
      <c r="E313" s="293"/>
      <c r="F313" s="293"/>
      <c r="G313" s="293"/>
      <c r="H313" s="293"/>
      <c r="I313" s="293"/>
      <c r="J313" s="293"/>
      <c r="K313" s="293"/>
      <c r="L313" s="293"/>
      <c r="M313" s="293"/>
      <c r="N313" s="293"/>
      <c r="O313" s="293"/>
      <c r="P313" s="293"/>
      <c r="Q313" s="293"/>
      <c r="R313" s="293"/>
      <c r="S313" s="293"/>
      <c r="T313" s="293"/>
      <c r="U313" s="293"/>
      <c r="V313" s="293"/>
      <c r="W313" s="293"/>
      <c r="X313" s="293"/>
    </row>
    <row r="314" spans="1:24" x14ac:dyDescent="0.25">
      <c r="A314" s="293"/>
      <c r="B314" s="293"/>
      <c r="C314" s="293"/>
      <c r="D314" s="293"/>
      <c r="E314" s="293"/>
      <c r="F314" s="293"/>
      <c r="G314" s="293"/>
      <c r="H314" s="293"/>
      <c r="I314" s="293"/>
      <c r="J314" s="293"/>
      <c r="K314" s="293"/>
      <c r="L314" s="293"/>
      <c r="M314" s="293"/>
      <c r="N314" s="293"/>
      <c r="O314" s="293"/>
      <c r="P314" s="293"/>
      <c r="Q314" s="293"/>
      <c r="R314" s="293"/>
      <c r="S314" s="293"/>
      <c r="T314" s="293"/>
      <c r="U314" s="293"/>
      <c r="V314" s="293"/>
      <c r="W314" s="293"/>
      <c r="X314" s="293"/>
    </row>
    <row r="315" spans="1:24" x14ac:dyDescent="0.25">
      <c r="A315" s="293"/>
      <c r="B315" s="293"/>
      <c r="C315" s="293"/>
      <c r="D315" s="293"/>
      <c r="E315" s="293"/>
      <c r="F315" s="293"/>
      <c r="G315" s="293"/>
      <c r="H315" s="293"/>
      <c r="I315" s="293"/>
      <c r="J315" s="293"/>
      <c r="K315" s="293"/>
      <c r="L315" s="293"/>
      <c r="M315" s="293"/>
      <c r="N315" s="293"/>
      <c r="O315" s="293"/>
      <c r="P315" s="293"/>
      <c r="Q315" s="293"/>
      <c r="R315" s="293"/>
      <c r="S315" s="293"/>
      <c r="T315" s="293"/>
      <c r="U315" s="293"/>
      <c r="V315" s="293"/>
      <c r="W315" s="293"/>
      <c r="X315" s="293"/>
    </row>
    <row r="316" spans="1:24" x14ac:dyDescent="0.25">
      <c r="A316" s="293"/>
      <c r="B316" s="293"/>
      <c r="C316" s="293"/>
      <c r="D316" s="293"/>
      <c r="E316" s="293"/>
      <c r="F316" s="293"/>
      <c r="G316" s="293"/>
      <c r="H316" s="293"/>
      <c r="I316" s="293"/>
      <c r="J316" s="293"/>
      <c r="K316" s="293"/>
      <c r="L316" s="293"/>
      <c r="M316" s="293"/>
      <c r="N316" s="293"/>
      <c r="O316" s="293"/>
      <c r="P316" s="293"/>
      <c r="Q316" s="293"/>
      <c r="R316" s="293"/>
      <c r="S316" s="293"/>
      <c r="T316" s="293"/>
      <c r="U316" s="293"/>
      <c r="V316" s="293"/>
      <c r="W316" s="293"/>
      <c r="X316" s="293"/>
    </row>
    <row r="317" spans="1:24" x14ac:dyDescent="0.25">
      <c r="A317" s="293"/>
      <c r="B317" s="293"/>
      <c r="C317" s="293"/>
      <c r="D317" s="293"/>
      <c r="E317" s="293"/>
      <c r="F317" s="293"/>
      <c r="G317" s="293"/>
      <c r="H317" s="293"/>
      <c r="I317" s="293"/>
      <c r="J317" s="293"/>
      <c r="K317" s="293"/>
      <c r="L317" s="293"/>
      <c r="M317" s="293"/>
      <c r="N317" s="293"/>
      <c r="O317" s="293"/>
      <c r="P317" s="293"/>
      <c r="Q317" s="293"/>
      <c r="R317" s="293"/>
      <c r="S317" s="293"/>
      <c r="T317" s="293"/>
      <c r="U317" s="293"/>
      <c r="V317" s="293"/>
      <c r="W317" s="293"/>
      <c r="X317" s="293"/>
    </row>
    <row r="318" spans="1:24" x14ac:dyDescent="0.25">
      <c r="A318" s="293"/>
      <c r="B318" s="293"/>
      <c r="C318" s="293"/>
      <c r="D318" s="293"/>
      <c r="E318" s="293"/>
      <c r="F318" s="293"/>
      <c r="G318" s="293"/>
      <c r="H318" s="293"/>
      <c r="I318" s="293"/>
      <c r="J318" s="293"/>
      <c r="K318" s="293"/>
      <c r="L318" s="293"/>
      <c r="M318" s="293"/>
      <c r="N318" s="293"/>
      <c r="O318" s="293"/>
      <c r="P318" s="293"/>
      <c r="Q318" s="293"/>
      <c r="R318" s="293"/>
      <c r="S318" s="293"/>
      <c r="T318" s="293"/>
      <c r="U318" s="293"/>
      <c r="V318" s="293"/>
      <c r="W318" s="293"/>
      <c r="X318" s="293"/>
    </row>
    <row r="319" spans="1:24" x14ac:dyDescent="0.25">
      <c r="A319" s="293"/>
      <c r="B319" s="293"/>
      <c r="C319" s="293"/>
      <c r="D319" s="293"/>
      <c r="E319" s="293"/>
      <c r="F319" s="293"/>
      <c r="G319" s="293"/>
      <c r="H319" s="293"/>
      <c r="I319" s="293"/>
      <c r="J319" s="293"/>
      <c r="K319" s="293"/>
      <c r="L319" s="293"/>
      <c r="M319" s="293"/>
      <c r="N319" s="293"/>
      <c r="O319" s="293"/>
      <c r="P319" s="293"/>
      <c r="Q319" s="293"/>
      <c r="R319" s="293"/>
      <c r="S319" s="293"/>
      <c r="T319" s="293"/>
      <c r="U319" s="293"/>
      <c r="V319" s="293"/>
      <c r="W319" s="293"/>
      <c r="X319" s="293"/>
    </row>
    <row r="320" spans="1:24" x14ac:dyDescent="0.25">
      <c r="A320" s="293"/>
      <c r="B320" s="293"/>
      <c r="C320" s="293"/>
      <c r="D320" s="293"/>
      <c r="E320" s="293"/>
      <c r="F320" s="293"/>
      <c r="G320" s="293"/>
      <c r="H320" s="293"/>
      <c r="I320" s="293"/>
      <c r="J320" s="293"/>
      <c r="K320" s="293"/>
      <c r="L320" s="293"/>
      <c r="M320" s="293"/>
      <c r="N320" s="293"/>
      <c r="O320" s="293"/>
      <c r="P320" s="293"/>
      <c r="Q320" s="293"/>
      <c r="R320" s="293"/>
      <c r="S320" s="293"/>
      <c r="T320" s="293"/>
      <c r="U320" s="293"/>
      <c r="V320" s="293"/>
      <c r="W320" s="293"/>
      <c r="X320" s="293"/>
    </row>
    <row r="321" spans="1:24" x14ac:dyDescent="0.25">
      <c r="A321" s="293"/>
      <c r="B321" s="293"/>
      <c r="C321" s="293"/>
      <c r="D321" s="293"/>
      <c r="E321" s="293"/>
      <c r="F321" s="293"/>
      <c r="G321" s="293"/>
      <c r="H321" s="293"/>
      <c r="I321" s="293"/>
      <c r="J321" s="293"/>
      <c r="K321" s="293"/>
      <c r="L321" s="293"/>
      <c r="M321" s="293"/>
      <c r="N321" s="293"/>
      <c r="O321" s="293"/>
      <c r="P321" s="293"/>
      <c r="Q321" s="293"/>
      <c r="R321" s="293"/>
      <c r="S321" s="293"/>
      <c r="T321" s="293"/>
      <c r="U321" s="293"/>
      <c r="V321" s="293"/>
      <c r="W321" s="293"/>
      <c r="X321" s="293"/>
    </row>
    <row r="322" spans="1:24" x14ac:dyDescent="0.25">
      <c r="A322" s="293"/>
      <c r="B322" s="293"/>
      <c r="C322" s="293"/>
      <c r="D322" s="293"/>
      <c r="E322" s="293"/>
      <c r="F322" s="293"/>
      <c r="G322" s="293"/>
      <c r="H322" s="293"/>
      <c r="I322" s="293"/>
      <c r="J322" s="293"/>
      <c r="K322" s="293"/>
      <c r="L322" s="293"/>
      <c r="M322" s="293"/>
      <c r="N322" s="293"/>
      <c r="O322" s="293"/>
      <c r="P322" s="293"/>
      <c r="Q322" s="293"/>
      <c r="R322" s="293"/>
      <c r="S322" s="293"/>
      <c r="T322" s="293"/>
      <c r="U322" s="293"/>
      <c r="V322" s="293"/>
      <c r="W322" s="293"/>
      <c r="X322" s="293"/>
    </row>
    <row r="323" spans="1:24" x14ac:dyDescent="0.25">
      <c r="A323" s="293"/>
      <c r="B323" s="293"/>
      <c r="C323" s="293"/>
      <c r="D323" s="293"/>
      <c r="E323" s="293"/>
      <c r="F323" s="293"/>
      <c r="G323" s="293"/>
      <c r="H323" s="293"/>
      <c r="I323" s="293"/>
      <c r="J323" s="293"/>
      <c r="K323" s="293"/>
      <c r="L323" s="293"/>
      <c r="M323" s="293"/>
      <c r="N323" s="293"/>
      <c r="O323" s="293"/>
      <c r="P323" s="293"/>
      <c r="Q323" s="293"/>
      <c r="R323" s="293"/>
      <c r="S323" s="293"/>
      <c r="T323" s="293"/>
      <c r="U323" s="293"/>
      <c r="V323" s="293"/>
      <c r="W323" s="293"/>
      <c r="X323" s="293"/>
    </row>
    <row r="324" spans="1:24" x14ac:dyDescent="0.25">
      <c r="A324" s="293"/>
      <c r="B324" s="293"/>
      <c r="C324" s="293"/>
      <c r="D324" s="293"/>
      <c r="E324" s="293"/>
      <c r="F324" s="293"/>
      <c r="G324" s="293"/>
      <c r="H324" s="293"/>
      <c r="I324" s="293"/>
      <c r="J324" s="293"/>
      <c r="K324" s="293"/>
      <c r="L324" s="293"/>
      <c r="M324" s="293"/>
      <c r="N324" s="293"/>
      <c r="O324" s="293"/>
      <c r="P324" s="293"/>
      <c r="Q324" s="293"/>
      <c r="R324" s="293"/>
      <c r="S324" s="293"/>
      <c r="T324" s="293"/>
      <c r="U324" s="293"/>
      <c r="V324" s="293"/>
      <c r="W324" s="293"/>
      <c r="X324" s="293"/>
    </row>
    <row r="325" spans="1:24" x14ac:dyDescent="0.25">
      <c r="A325" s="293"/>
      <c r="B325" s="293"/>
      <c r="C325" s="293"/>
      <c r="D325" s="293"/>
      <c r="E325" s="293"/>
      <c r="F325" s="293"/>
      <c r="G325" s="293"/>
      <c r="H325" s="293"/>
      <c r="I325" s="293"/>
      <c r="J325" s="293"/>
      <c r="K325" s="293"/>
      <c r="L325" s="293"/>
      <c r="M325" s="293"/>
      <c r="N325" s="293"/>
      <c r="O325" s="293"/>
      <c r="P325" s="293"/>
      <c r="Q325" s="293"/>
      <c r="R325" s="293"/>
      <c r="S325" s="293"/>
      <c r="T325" s="293"/>
      <c r="U325" s="293"/>
      <c r="V325" s="293"/>
      <c r="W325" s="293"/>
      <c r="X325" s="293"/>
    </row>
    <row r="326" spans="1:24" x14ac:dyDescent="0.25">
      <c r="A326" s="293"/>
      <c r="B326" s="293"/>
      <c r="C326" s="293"/>
      <c r="D326" s="293"/>
      <c r="E326" s="293"/>
      <c r="F326" s="293"/>
      <c r="G326" s="293"/>
      <c r="H326" s="293"/>
      <c r="I326" s="293"/>
      <c r="J326" s="293"/>
      <c r="K326" s="293"/>
      <c r="L326" s="293"/>
      <c r="M326" s="293"/>
      <c r="N326" s="293"/>
      <c r="O326" s="293"/>
      <c r="P326" s="293"/>
      <c r="Q326" s="293"/>
      <c r="R326" s="293"/>
      <c r="S326" s="293"/>
      <c r="T326" s="293"/>
      <c r="U326" s="293"/>
      <c r="V326" s="293"/>
      <c r="W326" s="293"/>
      <c r="X326" s="293"/>
    </row>
    <row r="327" spans="1:24" x14ac:dyDescent="0.25">
      <c r="A327" s="293"/>
      <c r="B327" s="293"/>
      <c r="C327" s="293"/>
      <c r="D327" s="293"/>
      <c r="E327" s="293"/>
      <c r="F327" s="293"/>
      <c r="G327" s="293"/>
      <c r="H327" s="293"/>
      <c r="I327" s="293"/>
      <c r="J327" s="293"/>
      <c r="K327" s="293"/>
      <c r="L327" s="293"/>
      <c r="M327" s="293"/>
      <c r="N327" s="293"/>
      <c r="O327" s="293"/>
      <c r="P327" s="293"/>
      <c r="Q327" s="293"/>
      <c r="R327" s="293"/>
      <c r="S327" s="293"/>
      <c r="T327" s="293"/>
      <c r="U327" s="293"/>
      <c r="V327" s="293"/>
      <c r="W327" s="293"/>
      <c r="X327" s="293"/>
    </row>
    <row r="328" spans="1:24" x14ac:dyDescent="0.25">
      <c r="A328" s="293"/>
      <c r="B328" s="293"/>
      <c r="C328" s="293"/>
      <c r="D328" s="293"/>
      <c r="E328" s="293"/>
      <c r="F328" s="293"/>
      <c r="G328" s="293"/>
      <c r="H328" s="293"/>
      <c r="I328" s="293"/>
      <c r="J328" s="293"/>
      <c r="K328" s="293"/>
      <c r="L328" s="293"/>
      <c r="M328" s="293"/>
      <c r="N328" s="293"/>
      <c r="O328" s="293"/>
      <c r="P328" s="293"/>
      <c r="Q328" s="293"/>
      <c r="R328" s="293"/>
      <c r="S328" s="293"/>
      <c r="T328" s="293"/>
      <c r="U328" s="293"/>
      <c r="V328" s="293"/>
      <c r="W328" s="293"/>
      <c r="X328" s="293"/>
    </row>
    <row r="329" spans="1:24" x14ac:dyDescent="0.25">
      <c r="A329" s="293"/>
      <c r="B329" s="293"/>
      <c r="C329" s="293"/>
      <c r="D329" s="293"/>
      <c r="E329" s="293"/>
      <c r="F329" s="293"/>
      <c r="G329" s="293"/>
      <c r="H329" s="293"/>
      <c r="I329" s="293"/>
      <c r="J329" s="293"/>
      <c r="K329" s="293"/>
      <c r="L329" s="293"/>
      <c r="M329" s="293"/>
      <c r="N329" s="293"/>
      <c r="O329" s="293"/>
      <c r="P329" s="293"/>
      <c r="Q329" s="293"/>
      <c r="R329" s="293"/>
      <c r="S329" s="293"/>
      <c r="T329" s="293"/>
      <c r="U329" s="293"/>
      <c r="V329" s="293"/>
      <c r="W329" s="293"/>
      <c r="X329" s="293"/>
    </row>
    <row r="330" spans="1:24" x14ac:dyDescent="0.25">
      <c r="A330" s="293"/>
      <c r="B330" s="293"/>
      <c r="C330" s="293"/>
      <c r="D330" s="293"/>
      <c r="E330" s="293"/>
      <c r="F330" s="293"/>
      <c r="G330" s="293"/>
      <c r="H330" s="293"/>
      <c r="I330" s="293"/>
      <c r="J330" s="293"/>
      <c r="K330" s="293"/>
      <c r="L330" s="293"/>
      <c r="M330" s="293"/>
      <c r="N330" s="293"/>
      <c r="O330" s="293"/>
      <c r="P330" s="293"/>
      <c r="Q330" s="293"/>
      <c r="R330" s="293"/>
      <c r="S330" s="293"/>
      <c r="T330" s="293"/>
      <c r="U330" s="293"/>
      <c r="V330" s="293"/>
      <c r="W330" s="293"/>
      <c r="X330" s="293"/>
    </row>
    <row r="331" spans="1:24" x14ac:dyDescent="0.25">
      <c r="A331" s="293"/>
      <c r="B331" s="293"/>
      <c r="C331" s="293"/>
      <c r="D331" s="293"/>
      <c r="E331" s="293"/>
      <c r="F331" s="293"/>
      <c r="G331" s="293"/>
      <c r="H331" s="293"/>
      <c r="I331" s="293"/>
      <c r="J331" s="293"/>
      <c r="K331" s="293"/>
      <c r="L331" s="293"/>
      <c r="M331" s="293"/>
      <c r="N331" s="293"/>
      <c r="O331" s="293"/>
      <c r="P331" s="293"/>
      <c r="Q331" s="293"/>
      <c r="R331" s="293"/>
      <c r="S331" s="293"/>
      <c r="T331" s="293"/>
      <c r="U331" s="293"/>
      <c r="V331" s="293"/>
      <c r="W331" s="293"/>
      <c r="X331" s="293"/>
    </row>
    <row r="332" spans="1:24" x14ac:dyDescent="0.25">
      <c r="A332" s="293"/>
      <c r="B332" s="293"/>
      <c r="C332" s="293"/>
      <c r="D332" s="293"/>
      <c r="E332" s="293"/>
      <c r="F332" s="293"/>
      <c r="G332" s="293"/>
      <c r="H332" s="293"/>
      <c r="I332" s="293"/>
      <c r="J332" s="293"/>
      <c r="K332" s="293"/>
      <c r="L332" s="293"/>
      <c r="M332" s="293"/>
      <c r="N332" s="293"/>
      <c r="O332" s="293"/>
      <c r="P332" s="293"/>
      <c r="Q332" s="293"/>
      <c r="R332" s="293"/>
      <c r="S332" s="293"/>
      <c r="T332" s="293"/>
      <c r="U332" s="293"/>
      <c r="V332" s="293"/>
      <c r="W332" s="293"/>
      <c r="X332" s="293"/>
    </row>
    <row r="333" spans="1:24" x14ac:dyDescent="0.25">
      <c r="A333" s="293"/>
      <c r="B333" s="293"/>
      <c r="C333" s="293"/>
      <c r="D333" s="293"/>
      <c r="E333" s="293"/>
      <c r="F333" s="293"/>
      <c r="G333" s="293"/>
      <c r="H333" s="293"/>
      <c r="I333" s="293"/>
      <c r="J333" s="293"/>
      <c r="K333" s="293"/>
      <c r="L333" s="293"/>
      <c r="M333" s="293"/>
      <c r="N333" s="293"/>
      <c r="O333" s="293"/>
      <c r="P333" s="293"/>
      <c r="Q333" s="293"/>
      <c r="R333" s="293"/>
      <c r="S333" s="293"/>
      <c r="T333" s="293"/>
      <c r="U333" s="293"/>
      <c r="V333" s="293"/>
      <c r="W333" s="293"/>
      <c r="X333" s="293"/>
    </row>
    <row r="334" spans="1:24" x14ac:dyDescent="0.25">
      <c r="A334" s="293"/>
      <c r="B334" s="293"/>
      <c r="C334" s="293"/>
      <c r="D334" s="293"/>
      <c r="E334" s="293"/>
      <c r="F334" s="293"/>
      <c r="G334" s="293"/>
      <c r="H334" s="293"/>
      <c r="I334" s="293"/>
      <c r="J334" s="293"/>
      <c r="K334" s="293"/>
      <c r="L334" s="293"/>
      <c r="M334" s="293"/>
      <c r="N334" s="293"/>
      <c r="O334" s="293"/>
      <c r="P334" s="293"/>
      <c r="Q334" s="293"/>
      <c r="R334" s="293"/>
      <c r="S334" s="293"/>
      <c r="T334" s="293"/>
      <c r="U334" s="293"/>
      <c r="V334" s="293"/>
      <c r="W334" s="293"/>
      <c r="X334" s="293"/>
    </row>
    <row r="335" spans="1:24" x14ac:dyDescent="0.25">
      <c r="A335" s="293"/>
      <c r="B335" s="293"/>
      <c r="C335" s="293"/>
      <c r="D335" s="293"/>
      <c r="E335" s="293"/>
      <c r="F335" s="293"/>
      <c r="G335" s="293"/>
      <c r="H335" s="293"/>
      <c r="I335" s="293"/>
      <c r="J335" s="293"/>
      <c r="K335" s="293"/>
      <c r="L335" s="293"/>
      <c r="M335" s="293"/>
      <c r="N335" s="293"/>
      <c r="O335" s="293"/>
      <c r="P335" s="293"/>
      <c r="Q335" s="293"/>
      <c r="R335" s="293"/>
      <c r="S335" s="293"/>
      <c r="T335" s="293"/>
      <c r="U335" s="293"/>
      <c r="V335" s="293"/>
      <c r="W335" s="293"/>
      <c r="X335" s="293"/>
    </row>
    <row r="336" spans="1:24" x14ac:dyDescent="0.25">
      <c r="A336" s="293"/>
      <c r="B336" s="293"/>
      <c r="C336" s="293"/>
      <c r="D336" s="293"/>
      <c r="E336" s="293"/>
      <c r="F336" s="293"/>
      <c r="G336" s="293"/>
      <c r="H336" s="293"/>
      <c r="I336" s="293"/>
      <c r="J336" s="293"/>
      <c r="K336" s="293"/>
      <c r="L336" s="293"/>
      <c r="M336" s="293"/>
      <c r="N336" s="293"/>
      <c r="O336" s="293"/>
      <c r="P336" s="293"/>
      <c r="Q336" s="293"/>
      <c r="R336" s="293"/>
      <c r="S336" s="293"/>
      <c r="T336" s="293"/>
      <c r="U336" s="293"/>
      <c r="V336" s="293"/>
      <c r="W336" s="293"/>
      <c r="X336" s="293"/>
    </row>
    <row r="337" spans="1:24" x14ac:dyDescent="0.25">
      <c r="A337" s="293"/>
      <c r="B337" s="293"/>
      <c r="C337" s="293"/>
      <c r="D337" s="293"/>
      <c r="E337" s="293"/>
      <c r="F337" s="293"/>
      <c r="G337" s="293"/>
      <c r="H337" s="293"/>
      <c r="I337" s="293"/>
      <c r="J337" s="293"/>
      <c r="K337" s="293"/>
      <c r="L337" s="293"/>
      <c r="M337" s="293"/>
      <c r="N337" s="293"/>
      <c r="O337" s="293"/>
      <c r="P337" s="293"/>
      <c r="Q337" s="293"/>
      <c r="R337" s="293"/>
      <c r="S337" s="293"/>
      <c r="T337" s="293"/>
      <c r="U337" s="293"/>
      <c r="V337" s="293"/>
      <c r="W337" s="293"/>
      <c r="X337" s="293"/>
    </row>
    <row r="338" spans="1:24" x14ac:dyDescent="0.25">
      <c r="A338" s="293"/>
      <c r="B338" s="293"/>
      <c r="C338" s="293"/>
      <c r="D338" s="293"/>
      <c r="E338" s="293"/>
      <c r="F338" s="293"/>
      <c r="G338" s="293"/>
      <c r="H338" s="293"/>
      <c r="I338" s="293"/>
      <c r="J338" s="293"/>
      <c r="K338" s="293"/>
      <c r="L338" s="293"/>
      <c r="M338" s="293"/>
      <c r="N338" s="293"/>
      <c r="O338" s="293"/>
      <c r="P338" s="293"/>
      <c r="Q338" s="293"/>
      <c r="R338" s="293"/>
      <c r="S338" s="293"/>
      <c r="T338" s="293"/>
      <c r="U338" s="293"/>
      <c r="V338" s="293"/>
      <c r="W338" s="293"/>
      <c r="X338" s="293"/>
    </row>
    <row r="339" spans="1:24" x14ac:dyDescent="0.25">
      <c r="A339" s="293"/>
      <c r="B339" s="293"/>
      <c r="C339" s="293"/>
      <c r="D339" s="293"/>
      <c r="E339" s="293"/>
      <c r="F339" s="293"/>
      <c r="G339" s="293"/>
      <c r="H339" s="293"/>
      <c r="I339" s="293"/>
      <c r="J339" s="293"/>
      <c r="K339" s="293"/>
      <c r="L339" s="293"/>
      <c r="M339" s="293"/>
      <c r="N339" s="293"/>
      <c r="O339" s="293"/>
      <c r="P339" s="293"/>
      <c r="Q339" s="293"/>
      <c r="R339" s="293"/>
      <c r="S339" s="293"/>
      <c r="T339" s="293"/>
      <c r="U339" s="293"/>
      <c r="V339" s="293"/>
      <c r="W339" s="293"/>
      <c r="X339" s="293"/>
    </row>
    <row r="340" spans="1:24" x14ac:dyDescent="0.25">
      <c r="A340" s="293"/>
      <c r="B340" s="293"/>
      <c r="C340" s="293"/>
      <c r="D340" s="293"/>
      <c r="E340" s="293"/>
      <c r="F340" s="293"/>
      <c r="G340" s="293"/>
      <c r="H340" s="293"/>
      <c r="I340" s="293"/>
      <c r="J340" s="293"/>
      <c r="K340" s="293"/>
      <c r="L340" s="293"/>
      <c r="M340" s="293"/>
      <c r="N340" s="293"/>
      <c r="O340" s="293"/>
      <c r="P340" s="293"/>
      <c r="Q340" s="293"/>
      <c r="R340" s="293"/>
      <c r="S340" s="293"/>
      <c r="T340" s="293"/>
      <c r="U340" s="293"/>
      <c r="V340" s="293"/>
      <c r="W340" s="293"/>
      <c r="X340" s="293"/>
    </row>
    <row r="341" spans="1:24" x14ac:dyDescent="0.25">
      <c r="A341" s="293"/>
      <c r="B341" s="293"/>
      <c r="C341" s="293"/>
      <c r="D341" s="293"/>
      <c r="E341" s="293"/>
      <c r="F341" s="293"/>
      <c r="G341" s="293"/>
      <c r="H341" s="293"/>
      <c r="I341" s="293"/>
      <c r="J341" s="293"/>
      <c r="K341" s="293"/>
      <c r="L341" s="293"/>
      <c r="M341" s="293"/>
      <c r="N341" s="293"/>
      <c r="O341" s="293"/>
      <c r="P341" s="293"/>
      <c r="Q341" s="293"/>
      <c r="R341" s="293"/>
      <c r="S341" s="293"/>
      <c r="T341" s="293"/>
      <c r="U341" s="293"/>
      <c r="V341" s="293"/>
      <c r="W341" s="293"/>
      <c r="X341" s="293"/>
    </row>
    <row r="342" spans="1:24" x14ac:dyDescent="0.25">
      <c r="A342" s="293"/>
      <c r="B342" s="293"/>
      <c r="C342" s="293"/>
      <c r="D342" s="293"/>
      <c r="E342" s="293"/>
      <c r="F342" s="293"/>
      <c r="G342" s="293"/>
      <c r="H342" s="293"/>
      <c r="I342" s="293"/>
      <c r="J342" s="293"/>
      <c r="K342" s="293"/>
      <c r="L342" s="293"/>
      <c r="M342" s="293"/>
      <c r="N342" s="293"/>
      <c r="O342" s="293"/>
      <c r="P342" s="293"/>
      <c r="Q342" s="293"/>
      <c r="R342" s="293"/>
      <c r="S342" s="293"/>
      <c r="T342" s="293"/>
      <c r="U342" s="293"/>
      <c r="V342" s="293"/>
      <c r="W342" s="293"/>
      <c r="X342" s="293"/>
    </row>
    <row r="343" spans="1:24" x14ac:dyDescent="0.25">
      <c r="A343" s="293"/>
      <c r="B343" s="293"/>
      <c r="C343" s="293"/>
      <c r="D343" s="293"/>
      <c r="E343" s="293"/>
      <c r="F343" s="293"/>
      <c r="G343" s="293"/>
      <c r="H343" s="293"/>
      <c r="I343" s="293"/>
      <c r="J343" s="293"/>
      <c r="K343" s="293"/>
      <c r="L343" s="293"/>
      <c r="M343" s="293"/>
      <c r="N343" s="293"/>
      <c r="O343" s="293"/>
      <c r="P343" s="293"/>
      <c r="Q343" s="293"/>
      <c r="R343" s="293"/>
      <c r="S343" s="293"/>
      <c r="T343" s="293"/>
      <c r="U343" s="293"/>
      <c r="V343" s="293"/>
      <c r="W343" s="293"/>
      <c r="X343" s="293"/>
    </row>
    <row r="344" spans="1:24" x14ac:dyDescent="0.25">
      <c r="A344" s="293"/>
      <c r="B344" s="293"/>
      <c r="C344" s="293"/>
      <c r="D344" s="293"/>
      <c r="E344" s="293"/>
      <c r="F344" s="293"/>
      <c r="G344" s="293"/>
      <c r="H344" s="293"/>
      <c r="I344" s="293"/>
      <c r="J344" s="293"/>
      <c r="K344" s="293"/>
      <c r="L344" s="293"/>
      <c r="M344" s="293"/>
      <c r="N344" s="293"/>
      <c r="O344" s="293"/>
      <c r="P344" s="293"/>
      <c r="Q344" s="293"/>
      <c r="R344" s="293"/>
      <c r="S344" s="293"/>
      <c r="T344" s="293"/>
      <c r="U344" s="293"/>
      <c r="V344" s="293"/>
      <c r="W344" s="293"/>
      <c r="X344" s="293"/>
    </row>
    <row r="345" spans="1:24" x14ac:dyDescent="0.25">
      <c r="A345" s="293"/>
      <c r="B345" s="293"/>
      <c r="C345" s="293"/>
      <c r="D345" s="293"/>
      <c r="E345" s="293"/>
      <c r="F345" s="293"/>
      <c r="G345" s="293"/>
      <c r="H345" s="293"/>
      <c r="I345" s="293"/>
      <c r="J345" s="293"/>
      <c r="K345" s="293"/>
      <c r="L345" s="293"/>
      <c r="M345" s="293"/>
      <c r="N345" s="293"/>
      <c r="O345" s="293"/>
      <c r="P345" s="293"/>
      <c r="Q345" s="293"/>
      <c r="R345" s="293"/>
      <c r="S345" s="293"/>
      <c r="T345" s="293"/>
      <c r="U345" s="293"/>
      <c r="V345" s="293"/>
      <c r="W345" s="293"/>
      <c r="X345" s="293"/>
    </row>
    <row r="346" spans="1:24" x14ac:dyDescent="0.25">
      <c r="A346" s="293"/>
      <c r="B346" s="293"/>
      <c r="C346" s="293"/>
      <c r="D346" s="293"/>
      <c r="E346" s="293"/>
      <c r="F346" s="293"/>
      <c r="G346" s="293"/>
      <c r="H346" s="293"/>
      <c r="I346" s="293"/>
      <c r="J346" s="293"/>
      <c r="K346" s="293"/>
      <c r="L346" s="293"/>
      <c r="M346" s="293"/>
      <c r="N346" s="293"/>
      <c r="O346" s="293"/>
      <c r="P346" s="293"/>
      <c r="Q346" s="293"/>
      <c r="R346" s="293"/>
      <c r="S346" s="293"/>
      <c r="T346" s="293"/>
      <c r="U346" s="293"/>
      <c r="V346" s="293"/>
      <c r="W346" s="293"/>
      <c r="X346" s="293"/>
    </row>
    <row r="347" spans="1:24" x14ac:dyDescent="0.25">
      <c r="A347" s="293"/>
      <c r="B347" s="293"/>
      <c r="C347" s="293"/>
      <c r="D347" s="293"/>
      <c r="E347" s="293"/>
      <c r="F347" s="293"/>
      <c r="G347" s="293"/>
      <c r="H347" s="293"/>
      <c r="I347" s="293"/>
      <c r="J347" s="293"/>
      <c r="K347" s="293"/>
      <c r="L347" s="293"/>
      <c r="M347" s="293"/>
      <c r="N347" s="293"/>
      <c r="O347" s="293"/>
      <c r="P347" s="293"/>
      <c r="Q347" s="293"/>
      <c r="R347" s="293"/>
      <c r="S347" s="293"/>
      <c r="T347" s="293"/>
      <c r="U347" s="293"/>
      <c r="V347" s="293"/>
      <c r="W347" s="293"/>
      <c r="X347" s="293"/>
    </row>
    <row r="348" spans="1:24" x14ac:dyDescent="0.25">
      <c r="A348" s="293"/>
      <c r="B348" s="293"/>
      <c r="C348" s="293"/>
      <c r="D348" s="293"/>
      <c r="E348" s="293"/>
      <c r="F348" s="293"/>
      <c r="G348" s="293"/>
      <c r="H348" s="293"/>
      <c r="I348" s="293"/>
      <c r="J348" s="293"/>
      <c r="K348" s="293"/>
      <c r="L348" s="293"/>
      <c r="M348" s="293"/>
      <c r="N348" s="293"/>
      <c r="O348" s="293"/>
      <c r="P348" s="293"/>
      <c r="Q348" s="293"/>
      <c r="R348" s="293"/>
      <c r="S348" s="293"/>
      <c r="T348" s="293"/>
      <c r="U348" s="293"/>
      <c r="V348" s="293"/>
      <c r="W348" s="293"/>
      <c r="X348" s="293"/>
    </row>
    <row r="349" spans="1:24" x14ac:dyDescent="0.25">
      <c r="A349" s="293"/>
      <c r="B349" s="293"/>
      <c r="C349" s="293"/>
      <c r="D349" s="293"/>
      <c r="E349" s="293"/>
      <c r="F349" s="293"/>
      <c r="G349" s="293"/>
      <c r="H349" s="293"/>
      <c r="I349" s="293"/>
      <c r="J349" s="293"/>
      <c r="K349" s="293"/>
      <c r="L349" s="293"/>
      <c r="M349" s="293"/>
      <c r="N349" s="293"/>
      <c r="O349" s="293"/>
      <c r="P349" s="293"/>
      <c r="Q349" s="293"/>
      <c r="R349" s="293"/>
      <c r="S349" s="293"/>
      <c r="T349" s="293"/>
      <c r="U349" s="293"/>
      <c r="V349" s="293"/>
      <c r="W349" s="293"/>
      <c r="X349" s="293"/>
    </row>
    <row r="350" spans="1:24" x14ac:dyDescent="0.25">
      <c r="A350" s="293"/>
      <c r="B350" s="293"/>
      <c r="C350" s="293"/>
      <c r="D350" s="293"/>
      <c r="E350" s="293"/>
      <c r="F350" s="293"/>
      <c r="G350" s="293"/>
      <c r="H350" s="293"/>
      <c r="I350" s="293"/>
      <c r="J350" s="293"/>
      <c r="K350" s="293"/>
      <c r="L350" s="293"/>
      <c r="M350" s="293"/>
      <c r="N350" s="293"/>
      <c r="O350" s="293"/>
      <c r="P350" s="293"/>
      <c r="Q350" s="293"/>
      <c r="R350" s="293"/>
      <c r="S350" s="293"/>
      <c r="T350" s="293"/>
      <c r="U350" s="293"/>
      <c r="V350" s="293"/>
      <c r="W350" s="293"/>
      <c r="X350" s="293"/>
    </row>
    <row r="351" spans="1:24" x14ac:dyDescent="0.25">
      <c r="A351" s="293"/>
      <c r="B351" s="293"/>
      <c r="C351" s="293"/>
      <c r="D351" s="293"/>
      <c r="E351" s="293"/>
      <c r="F351" s="293"/>
      <c r="G351" s="293"/>
      <c r="H351" s="293"/>
      <c r="I351" s="293"/>
      <c r="J351" s="293"/>
      <c r="K351" s="293"/>
      <c r="L351" s="293"/>
      <c r="M351" s="293"/>
      <c r="N351" s="293"/>
      <c r="O351" s="293"/>
      <c r="P351" s="293"/>
      <c r="Q351" s="293"/>
      <c r="R351" s="293"/>
      <c r="S351" s="293"/>
      <c r="T351" s="293"/>
      <c r="U351" s="293"/>
      <c r="V351" s="293"/>
      <c r="W351" s="293"/>
      <c r="X351" s="293"/>
    </row>
    <row r="352" spans="1:24" x14ac:dyDescent="0.25">
      <c r="A352" s="293"/>
      <c r="B352" s="293"/>
      <c r="C352" s="293"/>
      <c r="D352" s="293"/>
      <c r="E352" s="293"/>
      <c r="F352" s="293"/>
      <c r="G352" s="293"/>
      <c r="H352" s="293"/>
      <c r="I352" s="293"/>
      <c r="J352" s="293"/>
      <c r="K352" s="293"/>
      <c r="L352" s="293"/>
      <c r="M352" s="293"/>
      <c r="N352" s="293"/>
      <c r="O352" s="293"/>
      <c r="P352" s="293"/>
      <c r="Q352" s="293"/>
      <c r="R352" s="293"/>
      <c r="S352" s="293"/>
      <c r="T352" s="293"/>
      <c r="U352" s="293"/>
      <c r="V352" s="293"/>
      <c r="W352" s="293"/>
      <c r="X352" s="293"/>
    </row>
    <row r="353" spans="1:24" x14ac:dyDescent="0.25">
      <c r="A353" s="293"/>
      <c r="B353" s="293"/>
      <c r="C353" s="293"/>
      <c r="D353" s="293"/>
      <c r="E353" s="293"/>
      <c r="F353" s="293"/>
      <c r="G353" s="293"/>
      <c r="H353" s="293"/>
      <c r="I353" s="293"/>
      <c r="J353" s="293"/>
      <c r="K353" s="293"/>
      <c r="L353" s="293"/>
      <c r="M353" s="293"/>
      <c r="N353" s="293"/>
      <c r="O353" s="293"/>
      <c r="P353" s="293"/>
      <c r="Q353" s="293"/>
      <c r="R353" s="293"/>
      <c r="S353" s="293"/>
      <c r="T353" s="293"/>
      <c r="U353" s="293"/>
      <c r="V353" s="293"/>
      <c r="W353" s="293"/>
      <c r="X353" s="293"/>
    </row>
    <row r="354" spans="1:24" x14ac:dyDescent="0.25">
      <c r="A354" s="293"/>
      <c r="B354" s="293"/>
      <c r="C354" s="293"/>
      <c r="D354" s="293"/>
      <c r="E354" s="293"/>
      <c r="F354" s="293"/>
      <c r="G354" s="293"/>
      <c r="H354" s="293"/>
      <c r="I354" s="293"/>
      <c r="J354" s="293"/>
      <c r="K354" s="293"/>
      <c r="L354" s="293"/>
      <c r="M354" s="293"/>
      <c r="N354" s="293"/>
      <c r="O354" s="293"/>
      <c r="P354" s="293"/>
      <c r="Q354" s="293"/>
      <c r="R354" s="293"/>
      <c r="S354" s="293"/>
      <c r="T354" s="293"/>
      <c r="U354" s="293"/>
      <c r="V354" s="293"/>
      <c r="W354" s="293"/>
      <c r="X354" s="293"/>
    </row>
    <row r="355" spans="1:24" x14ac:dyDescent="0.25">
      <c r="A355" s="293"/>
      <c r="B355" s="293"/>
      <c r="C355" s="293"/>
      <c r="D355" s="293"/>
      <c r="E355" s="293"/>
      <c r="F355" s="293"/>
      <c r="G355" s="293"/>
      <c r="H355" s="293"/>
      <c r="I355" s="293"/>
      <c r="J355" s="293"/>
      <c r="K355" s="293"/>
      <c r="L355" s="293"/>
      <c r="M355" s="293"/>
      <c r="N355" s="293"/>
      <c r="O355" s="293"/>
      <c r="P355" s="293"/>
      <c r="Q355" s="293"/>
      <c r="R355" s="293"/>
      <c r="S355" s="293"/>
      <c r="T355" s="293"/>
      <c r="U355" s="293"/>
      <c r="V355" s="293"/>
      <c r="W355" s="293"/>
      <c r="X355" s="293"/>
    </row>
    <row r="356" spans="1:24" x14ac:dyDescent="0.25">
      <c r="A356" s="293"/>
      <c r="B356" s="293"/>
      <c r="C356" s="293"/>
      <c r="D356" s="293"/>
      <c r="E356" s="293"/>
      <c r="F356" s="293"/>
      <c r="G356" s="293"/>
      <c r="H356" s="293"/>
      <c r="I356" s="293"/>
      <c r="J356" s="293"/>
      <c r="K356" s="293"/>
      <c r="L356" s="293"/>
      <c r="M356" s="293"/>
      <c r="N356" s="293"/>
      <c r="O356" s="293"/>
      <c r="P356" s="293"/>
      <c r="Q356" s="293"/>
      <c r="R356" s="293"/>
      <c r="S356" s="293"/>
      <c r="T356" s="293"/>
      <c r="U356" s="293"/>
      <c r="V356" s="293"/>
      <c r="W356" s="293"/>
      <c r="X356" s="293"/>
    </row>
    <row r="357" spans="1:24" x14ac:dyDescent="0.25">
      <c r="A357" s="293"/>
      <c r="B357" s="293"/>
      <c r="C357" s="293"/>
      <c r="D357" s="293"/>
      <c r="E357" s="293"/>
      <c r="F357" s="293"/>
      <c r="G357" s="293"/>
      <c r="H357" s="293"/>
      <c r="I357" s="293"/>
      <c r="J357" s="293"/>
      <c r="K357" s="293"/>
      <c r="L357" s="293"/>
      <c r="M357" s="293"/>
      <c r="N357" s="293"/>
      <c r="O357" s="293"/>
      <c r="P357" s="293"/>
      <c r="Q357" s="293"/>
      <c r="R357" s="293"/>
      <c r="S357" s="293"/>
      <c r="T357" s="293"/>
      <c r="U357" s="293"/>
      <c r="V357" s="293"/>
      <c r="W357" s="293"/>
      <c r="X357" s="293"/>
    </row>
    <row r="358" spans="1:24" x14ac:dyDescent="0.25">
      <c r="A358" s="293"/>
      <c r="B358" s="293"/>
      <c r="C358" s="293"/>
      <c r="D358" s="293"/>
      <c r="E358" s="293"/>
      <c r="F358" s="293"/>
      <c r="G358" s="293"/>
      <c r="H358" s="293"/>
      <c r="I358" s="293"/>
      <c r="J358" s="293"/>
      <c r="K358" s="293"/>
      <c r="L358" s="293"/>
      <c r="M358" s="293"/>
      <c r="N358" s="293"/>
      <c r="O358" s="293"/>
      <c r="P358" s="293"/>
      <c r="Q358" s="293"/>
      <c r="R358" s="293"/>
      <c r="S358" s="293"/>
      <c r="T358" s="293"/>
      <c r="U358" s="293"/>
      <c r="V358" s="293"/>
      <c r="W358" s="293"/>
      <c r="X358" s="293"/>
    </row>
    <row r="359" spans="1:24" x14ac:dyDescent="0.25">
      <c r="A359" s="293"/>
      <c r="B359" s="293"/>
      <c r="C359" s="293"/>
      <c r="D359" s="293"/>
      <c r="E359" s="293"/>
      <c r="F359" s="293"/>
      <c r="G359" s="293"/>
      <c r="H359" s="293"/>
      <c r="I359" s="293"/>
      <c r="J359" s="293"/>
      <c r="K359" s="293"/>
      <c r="L359" s="293"/>
      <c r="M359" s="293"/>
      <c r="N359" s="293"/>
      <c r="O359" s="293"/>
      <c r="P359" s="293"/>
      <c r="Q359" s="293"/>
      <c r="R359" s="293"/>
      <c r="S359" s="293"/>
      <c r="T359" s="293"/>
      <c r="U359" s="293"/>
      <c r="V359" s="293"/>
      <c r="W359" s="293"/>
      <c r="X359" s="293"/>
    </row>
    <row r="360" spans="1:24" x14ac:dyDescent="0.25">
      <c r="A360" s="293"/>
      <c r="B360" s="293"/>
      <c r="C360" s="293"/>
      <c r="D360" s="293"/>
      <c r="E360" s="293"/>
      <c r="F360" s="293"/>
      <c r="G360" s="293"/>
      <c r="H360" s="293"/>
      <c r="I360" s="293"/>
      <c r="J360" s="293"/>
      <c r="K360" s="293"/>
      <c r="L360" s="293"/>
      <c r="M360" s="293"/>
      <c r="N360" s="293"/>
      <c r="O360" s="293"/>
      <c r="P360" s="293"/>
      <c r="Q360" s="293"/>
      <c r="R360" s="293"/>
      <c r="S360" s="293"/>
      <c r="T360" s="293"/>
      <c r="U360" s="293"/>
      <c r="V360" s="293"/>
      <c r="W360" s="293"/>
      <c r="X360" s="293"/>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5"/>
  <sheetViews>
    <sheetView view="pageBreakPreview" topLeftCell="A34" zoomScale="60" zoomScaleNormal="80" workbookViewId="0">
      <selection activeCell="B82" sqref="B82:C82"/>
    </sheetView>
  </sheetViews>
  <sheetFormatPr defaultRowHeight="15.75" x14ac:dyDescent="0.2"/>
  <cols>
    <col min="1" max="1" width="61.7109375" style="118" customWidth="1"/>
    <col min="2" max="2" width="18.5703125" style="118" customWidth="1"/>
    <col min="3" max="3" width="19.28515625" style="118" customWidth="1"/>
    <col min="4" max="4" width="16.85546875" style="118" customWidth="1"/>
    <col min="5" max="5" width="18" style="118" bestFit="1" customWidth="1"/>
    <col min="6" max="9" width="16.85546875" style="118" customWidth="1"/>
    <col min="10" max="10" width="18.7109375" style="118" customWidth="1"/>
    <col min="11" max="13" width="16.85546875" style="118" customWidth="1"/>
    <col min="14" max="28" width="16.85546875" style="118" hidden="1" customWidth="1"/>
    <col min="29" max="29" width="16.7109375" style="118" hidden="1" customWidth="1"/>
    <col min="30" max="30" width="15.28515625" style="119" hidden="1" customWidth="1"/>
    <col min="31" max="33" width="13" style="120" hidden="1" customWidth="1"/>
    <col min="34" max="228" width="9.140625" style="119"/>
    <col min="229" max="229" width="61.7109375" style="119" customWidth="1"/>
    <col min="230" max="230" width="18.5703125" style="119" customWidth="1"/>
    <col min="231" max="237" width="16.85546875" style="119" customWidth="1"/>
    <col min="238" max="238" width="18.7109375" style="119" customWidth="1"/>
    <col min="239" max="256" width="16.85546875" style="119" customWidth="1"/>
    <col min="257" max="272" width="16.7109375" style="119" customWidth="1"/>
    <col min="273" max="273" width="13.28515625" style="119" bestFit="1" customWidth="1"/>
    <col min="274" max="274" width="14.7109375" style="119" customWidth="1"/>
    <col min="275" max="484" width="9.140625" style="119"/>
    <col min="485" max="485" width="61.7109375" style="119" customWidth="1"/>
    <col min="486" max="486" width="18.5703125" style="119" customWidth="1"/>
    <col min="487" max="493" width="16.85546875" style="119" customWidth="1"/>
    <col min="494" max="494" width="18.7109375" style="119" customWidth="1"/>
    <col min="495" max="512" width="16.85546875" style="119" customWidth="1"/>
    <col min="513" max="528" width="16.7109375" style="119" customWidth="1"/>
    <col min="529" max="529" width="13.28515625" style="119" bestFit="1" customWidth="1"/>
    <col min="530" max="530" width="14.7109375" style="119" customWidth="1"/>
    <col min="531" max="740" width="9.140625" style="119"/>
    <col min="741" max="741" width="61.7109375" style="119" customWidth="1"/>
    <col min="742" max="742" width="18.5703125" style="119" customWidth="1"/>
    <col min="743" max="749" width="16.85546875" style="119" customWidth="1"/>
    <col min="750" max="750" width="18.7109375" style="119" customWidth="1"/>
    <col min="751" max="768" width="16.85546875" style="119" customWidth="1"/>
    <col min="769" max="784" width="16.7109375" style="119" customWidth="1"/>
    <col min="785" max="785" width="13.28515625" style="119" bestFit="1" customWidth="1"/>
    <col min="786" max="786" width="14.7109375" style="119" customWidth="1"/>
    <col min="787" max="996" width="9.140625" style="119"/>
    <col min="997" max="997" width="61.7109375" style="119" customWidth="1"/>
    <col min="998" max="998" width="18.5703125" style="119" customWidth="1"/>
    <col min="999" max="1005" width="16.85546875" style="119" customWidth="1"/>
    <col min="1006" max="1006" width="18.7109375" style="119" customWidth="1"/>
    <col min="1007" max="1024" width="16.85546875" style="119" customWidth="1"/>
    <col min="1025" max="1040" width="16.7109375" style="119" customWidth="1"/>
    <col min="1041" max="1041" width="13.28515625" style="119" bestFit="1" customWidth="1"/>
    <col min="1042" max="1042" width="14.7109375" style="119" customWidth="1"/>
    <col min="1043" max="1252" width="9.140625" style="119"/>
    <col min="1253" max="1253" width="61.7109375" style="119" customWidth="1"/>
    <col min="1254" max="1254" width="18.5703125" style="119" customWidth="1"/>
    <col min="1255" max="1261" width="16.85546875" style="119" customWidth="1"/>
    <col min="1262" max="1262" width="18.7109375" style="119" customWidth="1"/>
    <col min="1263" max="1280" width="16.85546875" style="119" customWidth="1"/>
    <col min="1281" max="1296" width="16.7109375" style="119" customWidth="1"/>
    <col min="1297" max="1297" width="13.28515625" style="119" bestFit="1" customWidth="1"/>
    <col min="1298" max="1298" width="14.7109375" style="119" customWidth="1"/>
    <col min="1299" max="1508" width="9.140625" style="119"/>
    <col min="1509" max="1509" width="61.7109375" style="119" customWidth="1"/>
    <col min="1510" max="1510" width="18.5703125" style="119" customWidth="1"/>
    <col min="1511" max="1517" width="16.85546875" style="119" customWidth="1"/>
    <col min="1518" max="1518" width="18.7109375" style="119" customWidth="1"/>
    <col min="1519" max="1536" width="16.85546875" style="119" customWidth="1"/>
    <col min="1537" max="1552" width="16.7109375" style="119" customWidth="1"/>
    <col min="1553" max="1553" width="13.28515625" style="119" bestFit="1" customWidth="1"/>
    <col min="1554" max="1554" width="14.7109375" style="119" customWidth="1"/>
    <col min="1555" max="1764" width="9.140625" style="119"/>
    <col min="1765" max="1765" width="61.7109375" style="119" customWidth="1"/>
    <col min="1766" max="1766" width="18.5703125" style="119" customWidth="1"/>
    <col min="1767" max="1773" width="16.85546875" style="119" customWidth="1"/>
    <col min="1774" max="1774" width="18.7109375" style="119" customWidth="1"/>
    <col min="1775" max="1792" width="16.85546875" style="119" customWidth="1"/>
    <col min="1793" max="1808" width="16.7109375" style="119" customWidth="1"/>
    <col min="1809" max="1809" width="13.28515625" style="119" bestFit="1" customWidth="1"/>
    <col min="1810" max="1810" width="14.7109375" style="119" customWidth="1"/>
    <col min="1811" max="2020" width="9.140625" style="119"/>
    <col min="2021" max="2021" width="61.7109375" style="119" customWidth="1"/>
    <col min="2022" max="2022" width="18.5703125" style="119" customWidth="1"/>
    <col min="2023" max="2029" width="16.85546875" style="119" customWidth="1"/>
    <col min="2030" max="2030" width="18.7109375" style="119" customWidth="1"/>
    <col min="2031" max="2048" width="16.85546875" style="119" customWidth="1"/>
    <col min="2049" max="2064" width="16.7109375" style="119" customWidth="1"/>
    <col min="2065" max="2065" width="13.28515625" style="119" bestFit="1" customWidth="1"/>
    <col min="2066" max="2066" width="14.7109375" style="119" customWidth="1"/>
    <col min="2067" max="2276" width="9.140625" style="119"/>
    <col min="2277" max="2277" width="61.7109375" style="119" customWidth="1"/>
    <col min="2278" max="2278" width="18.5703125" style="119" customWidth="1"/>
    <col min="2279" max="2285" width="16.85546875" style="119" customWidth="1"/>
    <col min="2286" max="2286" width="18.7109375" style="119" customWidth="1"/>
    <col min="2287" max="2304" width="16.85546875" style="119" customWidth="1"/>
    <col min="2305" max="2320" width="16.7109375" style="119" customWidth="1"/>
    <col min="2321" max="2321" width="13.28515625" style="119" bestFit="1" customWidth="1"/>
    <col min="2322" max="2322" width="14.7109375" style="119" customWidth="1"/>
    <col min="2323" max="2532" width="9.140625" style="119"/>
    <col min="2533" max="2533" width="61.7109375" style="119" customWidth="1"/>
    <col min="2534" max="2534" width="18.5703125" style="119" customWidth="1"/>
    <col min="2535" max="2541" width="16.85546875" style="119" customWidth="1"/>
    <col min="2542" max="2542" width="18.7109375" style="119" customWidth="1"/>
    <col min="2543" max="2560" width="16.85546875" style="119" customWidth="1"/>
    <col min="2561" max="2576" width="16.7109375" style="119" customWidth="1"/>
    <col min="2577" max="2577" width="13.28515625" style="119" bestFit="1" customWidth="1"/>
    <col min="2578" max="2578" width="14.7109375" style="119" customWidth="1"/>
    <col min="2579" max="2788" width="9.140625" style="119"/>
    <col min="2789" max="2789" width="61.7109375" style="119" customWidth="1"/>
    <col min="2790" max="2790" width="18.5703125" style="119" customWidth="1"/>
    <col min="2791" max="2797" width="16.85546875" style="119" customWidth="1"/>
    <col min="2798" max="2798" width="18.7109375" style="119" customWidth="1"/>
    <col min="2799" max="2816" width="16.85546875" style="119" customWidth="1"/>
    <col min="2817" max="2832" width="16.7109375" style="119" customWidth="1"/>
    <col min="2833" max="2833" width="13.28515625" style="119" bestFit="1" customWidth="1"/>
    <col min="2834" max="2834" width="14.7109375" style="119" customWidth="1"/>
    <col min="2835" max="3044" width="9.140625" style="119"/>
    <col min="3045" max="3045" width="61.7109375" style="119" customWidth="1"/>
    <col min="3046" max="3046" width="18.5703125" style="119" customWidth="1"/>
    <col min="3047" max="3053" width="16.85546875" style="119" customWidth="1"/>
    <col min="3054" max="3054" width="18.7109375" style="119" customWidth="1"/>
    <col min="3055" max="3072" width="16.85546875" style="119" customWidth="1"/>
    <col min="3073" max="3088" width="16.7109375" style="119" customWidth="1"/>
    <col min="3089" max="3089" width="13.28515625" style="119" bestFit="1" customWidth="1"/>
    <col min="3090" max="3090" width="14.7109375" style="119" customWidth="1"/>
    <col min="3091" max="3300" width="9.140625" style="119"/>
    <col min="3301" max="3301" width="61.7109375" style="119" customWidth="1"/>
    <col min="3302" max="3302" width="18.5703125" style="119" customWidth="1"/>
    <col min="3303" max="3309" width="16.85546875" style="119" customWidth="1"/>
    <col min="3310" max="3310" width="18.7109375" style="119" customWidth="1"/>
    <col min="3311" max="3328" width="16.85546875" style="119" customWidth="1"/>
    <col min="3329" max="3344" width="16.7109375" style="119" customWidth="1"/>
    <col min="3345" max="3345" width="13.28515625" style="119" bestFit="1" customWidth="1"/>
    <col min="3346" max="3346" width="14.7109375" style="119" customWidth="1"/>
    <col min="3347" max="3556" width="9.140625" style="119"/>
    <col min="3557" max="3557" width="61.7109375" style="119" customWidth="1"/>
    <col min="3558" max="3558" width="18.5703125" style="119" customWidth="1"/>
    <col min="3559" max="3565" width="16.85546875" style="119" customWidth="1"/>
    <col min="3566" max="3566" width="18.7109375" style="119" customWidth="1"/>
    <col min="3567" max="3584" width="16.85546875" style="119" customWidth="1"/>
    <col min="3585" max="3600" width="16.7109375" style="119" customWidth="1"/>
    <col min="3601" max="3601" width="13.28515625" style="119" bestFit="1" customWidth="1"/>
    <col min="3602" max="3602" width="14.7109375" style="119" customWidth="1"/>
    <col min="3603" max="3812" width="9.140625" style="119"/>
    <col min="3813" max="3813" width="61.7109375" style="119" customWidth="1"/>
    <col min="3814" max="3814" width="18.5703125" style="119" customWidth="1"/>
    <col min="3815" max="3821" width="16.85546875" style="119" customWidth="1"/>
    <col min="3822" max="3822" width="18.7109375" style="119" customWidth="1"/>
    <col min="3823" max="3840" width="16.85546875" style="119" customWidth="1"/>
    <col min="3841" max="3856" width="16.7109375" style="119" customWidth="1"/>
    <col min="3857" max="3857" width="13.28515625" style="119" bestFit="1" customWidth="1"/>
    <col min="3858" max="3858" width="14.7109375" style="119" customWidth="1"/>
    <col min="3859" max="4068" width="9.140625" style="119"/>
    <col min="4069" max="4069" width="61.7109375" style="119" customWidth="1"/>
    <col min="4070" max="4070" width="18.5703125" style="119" customWidth="1"/>
    <col min="4071" max="4077" width="16.85546875" style="119" customWidth="1"/>
    <col min="4078" max="4078" width="18.7109375" style="119" customWidth="1"/>
    <col min="4079" max="4096" width="16.85546875" style="119" customWidth="1"/>
    <col min="4097" max="4112" width="16.7109375" style="119" customWidth="1"/>
    <col min="4113" max="4113" width="13.28515625" style="119" bestFit="1" customWidth="1"/>
    <col min="4114" max="4114" width="14.7109375" style="119" customWidth="1"/>
    <col min="4115" max="4324" width="9.140625" style="119"/>
    <col min="4325" max="4325" width="61.7109375" style="119" customWidth="1"/>
    <col min="4326" max="4326" width="18.5703125" style="119" customWidth="1"/>
    <col min="4327" max="4333" width="16.85546875" style="119" customWidth="1"/>
    <col min="4334" max="4334" width="18.7109375" style="119" customWidth="1"/>
    <col min="4335" max="4352" width="16.85546875" style="119" customWidth="1"/>
    <col min="4353" max="4368" width="16.7109375" style="119" customWidth="1"/>
    <col min="4369" max="4369" width="13.28515625" style="119" bestFit="1" customWidth="1"/>
    <col min="4370" max="4370" width="14.7109375" style="119" customWidth="1"/>
    <col min="4371" max="4580" width="9.140625" style="119"/>
    <col min="4581" max="4581" width="61.7109375" style="119" customWidth="1"/>
    <col min="4582" max="4582" width="18.5703125" style="119" customWidth="1"/>
    <col min="4583" max="4589" width="16.85546875" style="119" customWidth="1"/>
    <col min="4590" max="4590" width="18.7109375" style="119" customWidth="1"/>
    <col min="4591" max="4608" width="16.85546875" style="119" customWidth="1"/>
    <col min="4609" max="4624" width="16.7109375" style="119" customWidth="1"/>
    <col min="4625" max="4625" width="13.28515625" style="119" bestFit="1" customWidth="1"/>
    <col min="4626" max="4626" width="14.7109375" style="119" customWidth="1"/>
    <col min="4627" max="4836" width="9.140625" style="119"/>
    <col min="4837" max="4837" width="61.7109375" style="119" customWidth="1"/>
    <col min="4838" max="4838" width="18.5703125" style="119" customWidth="1"/>
    <col min="4839" max="4845" width="16.85546875" style="119" customWidth="1"/>
    <col min="4846" max="4846" width="18.7109375" style="119" customWidth="1"/>
    <col min="4847" max="4864" width="16.85546875" style="119" customWidth="1"/>
    <col min="4865" max="4880" width="16.7109375" style="119" customWidth="1"/>
    <col min="4881" max="4881" width="13.28515625" style="119" bestFit="1" customWidth="1"/>
    <col min="4882" max="4882" width="14.7109375" style="119" customWidth="1"/>
    <col min="4883" max="5092" width="9.140625" style="119"/>
    <col min="5093" max="5093" width="61.7109375" style="119" customWidth="1"/>
    <col min="5094" max="5094" width="18.5703125" style="119" customWidth="1"/>
    <col min="5095" max="5101" width="16.85546875" style="119" customWidth="1"/>
    <col min="5102" max="5102" width="18.7109375" style="119" customWidth="1"/>
    <col min="5103" max="5120" width="16.85546875" style="119" customWidth="1"/>
    <col min="5121" max="5136" width="16.7109375" style="119" customWidth="1"/>
    <col min="5137" max="5137" width="13.28515625" style="119" bestFit="1" customWidth="1"/>
    <col min="5138" max="5138" width="14.7109375" style="119" customWidth="1"/>
    <col min="5139" max="5348" width="9.140625" style="119"/>
    <col min="5349" max="5349" width="61.7109375" style="119" customWidth="1"/>
    <col min="5350" max="5350" width="18.5703125" style="119" customWidth="1"/>
    <col min="5351" max="5357" width="16.85546875" style="119" customWidth="1"/>
    <col min="5358" max="5358" width="18.7109375" style="119" customWidth="1"/>
    <col min="5359" max="5376" width="16.85546875" style="119" customWidth="1"/>
    <col min="5377" max="5392" width="16.7109375" style="119" customWidth="1"/>
    <col min="5393" max="5393" width="13.28515625" style="119" bestFit="1" customWidth="1"/>
    <col min="5394" max="5394" width="14.7109375" style="119" customWidth="1"/>
    <col min="5395" max="5604" width="9.140625" style="119"/>
    <col min="5605" max="5605" width="61.7109375" style="119" customWidth="1"/>
    <col min="5606" max="5606" width="18.5703125" style="119" customWidth="1"/>
    <col min="5607" max="5613" width="16.85546875" style="119" customWidth="1"/>
    <col min="5614" max="5614" width="18.7109375" style="119" customWidth="1"/>
    <col min="5615" max="5632" width="16.85546875" style="119" customWidth="1"/>
    <col min="5633" max="5648" width="16.7109375" style="119" customWidth="1"/>
    <col min="5649" max="5649" width="13.28515625" style="119" bestFit="1" customWidth="1"/>
    <col min="5650" max="5650" width="14.7109375" style="119" customWidth="1"/>
    <col min="5651" max="5860" width="9.140625" style="119"/>
    <col min="5861" max="5861" width="61.7109375" style="119" customWidth="1"/>
    <col min="5862" max="5862" width="18.5703125" style="119" customWidth="1"/>
    <col min="5863" max="5869" width="16.85546875" style="119" customWidth="1"/>
    <col min="5870" max="5870" width="18.7109375" style="119" customWidth="1"/>
    <col min="5871" max="5888" width="16.85546875" style="119" customWidth="1"/>
    <col min="5889" max="5904" width="16.7109375" style="119" customWidth="1"/>
    <col min="5905" max="5905" width="13.28515625" style="119" bestFit="1" customWidth="1"/>
    <col min="5906" max="5906" width="14.7109375" style="119" customWidth="1"/>
    <col min="5907" max="6116" width="9.140625" style="119"/>
    <col min="6117" max="6117" width="61.7109375" style="119" customWidth="1"/>
    <col min="6118" max="6118" width="18.5703125" style="119" customWidth="1"/>
    <col min="6119" max="6125" width="16.85546875" style="119" customWidth="1"/>
    <col min="6126" max="6126" width="18.7109375" style="119" customWidth="1"/>
    <col min="6127" max="6144" width="16.85546875" style="119" customWidth="1"/>
    <col min="6145" max="6160" width="16.7109375" style="119" customWidth="1"/>
    <col min="6161" max="6161" width="13.28515625" style="119" bestFit="1" customWidth="1"/>
    <col min="6162" max="6162" width="14.7109375" style="119" customWidth="1"/>
    <col min="6163" max="6372" width="9.140625" style="119"/>
    <col min="6373" max="6373" width="61.7109375" style="119" customWidth="1"/>
    <col min="6374" max="6374" width="18.5703125" style="119" customWidth="1"/>
    <col min="6375" max="6381" width="16.85546875" style="119" customWidth="1"/>
    <col min="6382" max="6382" width="18.7109375" style="119" customWidth="1"/>
    <col min="6383" max="6400" width="16.85546875" style="119" customWidth="1"/>
    <col min="6401" max="6416" width="16.7109375" style="119" customWidth="1"/>
    <col min="6417" max="6417" width="13.28515625" style="119" bestFit="1" customWidth="1"/>
    <col min="6418" max="6418" width="14.7109375" style="119" customWidth="1"/>
    <col min="6419" max="6628" width="9.140625" style="119"/>
    <col min="6629" max="6629" width="61.7109375" style="119" customWidth="1"/>
    <col min="6630" max="6630" width="18.5703125" style="119" customWidth="1"/>
    <col min="6631" max="6637" width="16.85546875" style="119" customWidth="1"/>
    <col min="6638" max="6638" width="18.7109375" style="119" customWidth="1"/>
    <col min="6639" max="6656" width="16.85546875" style="119" customWidth="1"/>
    <col min="6657" max="6672" width="16.7109375" style="119" customWidth="1"/>
    <col min="6673" max="6673" width="13.28515625" style="119" bestFit="1" customWidth="1"/>
    <col min="6674" max="6674" width="14.7109375" style="119" customWidth="1"/>
    <col min="6675" max="6884" width="9.140625" style="119"/>
    <col min="6885" max="6885" width="61.7109375" style="119" customWidth="1"/>
    <col min="6886" max="6886" width="18.5703125" style="119" customWidth="1"/>
    <col min="6887" max="6893" width="16.85546875" style="119" customWidth="1"/>
    <col min="6894" max="6894" width="18.7109375" style="119" customWidth="1"/>
    <col min="6895" max="6912" width="16.85546875" style="119" customWidth="1"/>
    <col min="6913" max="6928" width="16.7109375" style="119" customWidth="1"/>
    <col min="6929" max="6929" width="13.28515625" style="119" bestFit="1" customWidth="1"/>
    <col min="6930" max="6930" width="14.7109375" style="119" customWidth="1"/>
    <col min="6931" max="7140" width="9.140625" style="119"/>
    <col min="7141" max="7141" width="61.7109375" style="119" customWidth="1"/>
    <col min="7142" max="7142" width="18.5703125" style="119" customWidth="1"/>
    <col min="7143" max="7149" width="16.85546875" style="119" customWidth="1"/>
    <col min="7150" max="7150" width="18.7109375" style="119" customWidth="1"/>
    <col min="7151" max="7168" width="16.85546875" style="119" customWidth="1"/>
    <col min="7169" max="7184" width="16.7109375" style="119" customWidth="1"/>
    <col min="7185" max="7185" width="13.28515625" style="119" bestFit="1" customWidth="1"/>
    <col min="7186" max="7186" width="14.7109375" style="119" customWidth="1"/>
    <col min="7187" max="7396" width="9.140625" style="119"/>
    <col min="7397" max="7397" width="61.7109375" style="119" customWidth="1"/>
    <col min="7398" max="7398" width="18.5703125" style="119" customWidth="1"/>
    <col min="7399" max="7405" width="16.85546875" style="119" customWidth="1"/>
    <col min="7406" max="7406" width="18.7109375" style="119" customWidth="1"/>
    <col min="7407" max="7424" width="16.85546875" style="119" customWidth="1"/>
    <col min="7425" max="7440" width="16.7109375" style="119" customWidth="1"/>
    <col min="7441" max="7441" width="13.28515625" style="119" bestFit="1" customWidth="1"/>
    <col min="7442" max="7442" width="14.7109375" style="119" customWidth="1"/>
    <col min="7443" max="7652" width="9.140625" style="119"/>
    <col min="7653" max="7653" width="61.7109375" style="119" customWidth="1"/>
    <col min="7654" max="7654" width="18.5703125" style="119" customWidth="1"/>
    <col min="7655" max="7661" width="16.85546875" style="119" customWidth="1"/>
    <col min="7662" max="7662" width="18.7109375" style="119" customWidth="1"/>
    <col min="7663" max="7680" width="16.85546875" style="119" customWidth="1"/>
    <col min="7681" max="7696" width="16.7109375" style="119" customWidth="1"/>
    <col min="7697" max="7697" width="13.28515625" style="119" bestFit="1" customWidth="1"/>
    <col min="7698" max="7698" width="14.7109375" style="119" customWidth="1"/>
    <col min="7699" max="7908" width="9.140625" style="119"/>
    <col min="7909" max="7909" width="61.7109375" style="119" customWidth="1"/>
    <col min="7910" max="7910" width="18.5703125" style="119" customWidth="1"/>
    <col min="7911" max="7917" width="16.85546875" style="119" customWidth="1"/>
    <col min="7918" max="7918" width="18.7109375" style="119" customWidth="1"/>
    <col min="7919" max="7936" width="16.85546875" style="119" customWidth="1"/>
    <col min="7937" max="7952" width="16.7109375" style="119" customWidth="1"/>
    <col min="7953" max="7953" width="13.28515625" style="119" bestFit="1" customWidth="1"/>
    <col min="7954" max="7954" width="14.7109375" style="119" customWidth="1"/>
    <col min="7955" max="8164" width="9.140625" style="119"/>
    <col min="8165" max="8165" width="61.7109375" style="119" customWidth="1"/>
    <col min="8166" max="8166" width="18.5703125" style="119" customWidth="1"/>
    <col min="8167" max="8173" width="16.85546875" style="119" customWidth="1"/>
    <col min="8174" max="8174" width="18.7109375" style="119" customWidth="1"/>
    <col min="8175" max="8192" width="16.85546875" style="119" customWidth="1"/>
    <col min="8193" max="8208" width="16.7109375" style="119" customWidth="1"/>
    <col min="8209" max="8209" width="13.28515625" style="119" bestFit="1" customWidth="1"/>
    <col min="8210" max="8210" width="14.7109375" style="119" customWidth="1"/>
    <col min="8211" max="8420" width="9.140625" style="119"/>
    <col min="8421" max="8421" width="61.7109375" style="119" customWidth="1"/>
    <col min="8422" max="8422" width="18.5703125" style="119" customWidth="1"/>
    <col min="8423" max="8429" width="16.85546875" style="119" customWidth="1"/>
    <col min="8430" max="8430" width="18.7109375" style="119" customWidth="1"/>
    <col min="8431" max="8448" width="16.85546875" style="119" customWidth="1"/>
    <col min="8449" max="8464" width="16.7109375" style="119" customWidth="1"/>
    <col min="8465" max="8465" width="13.28515625" style="119" bestFit="1" customWidth="1"/>
    <col min="8466" max="8466" width="14.7109375" style="119" customWidth="1"/>
    <col min="8467" max="8676" width="9.140625" style="119"/>
    <col min="8677" max="8677" width="61.7109375" style="119" customWidth="1"/>
    <col min="8678" max="8678" width="18.5703125" style="119" customWidth="1"/>
    <col min="8679" max="8685" width="16.85546875" style="119" customWidth="1"/>
    <col min="8686" max="8686" width="18.7109375" style="119" customWidth="1"/>
    <col min="8687" max="8704" width="16.85546875" style="119" customWidth="1"/>
    <col min="8705" max="8720" width="16.7109375" style="119" customWidth="1"/>
    <col min="8721" max="8721" width="13.28515625" style="119" bestFit="1" customWidth="1"/>
    <col min="8722" max="8722" width="14.7109375" style="119" customWidth="1"/>
    <col min="8723" max="8932" width="9.140625" style="119"/>
    <col min="8933" max="8933" width="61.7109375" style="119" customWidth="1"/>
    <col min="8934" max="8934" width="18.5703125" style="119" customWidth="1"/>
    <col min="8935" max="8941" width="16.85546875" style="119" customWidth="1"/>
    <col min="8942" max="8942" width="18.7109375" style="119" customWidth="1"/>
    <col min="8943" max="8960" width="16.85546875" style="119" customWidth="1"/>
    <col min="8961" max="8976" width="16.7109375" style="119" customWidth="1"/>
    <col min="8977" max="8977" width="13.28515625" style="119" bestFit="1" customWidth="1"/>
    <col min="8978" max="8978" width="14.7109375" style="119" customWidth="1"/>
    <col min="8979" max="9188" width="9.140625" style="119"/>
    <col min="9189" max="9189" width="61.7109375" style="119" customWidth="1"/>
    <col min="9190" max="9190" width="18.5703125" style="119" customWidth="1"/>
    <col min="9191" max="9197" width="16.85546875" style="119" customWidth="1"/>
    <col min="9198" max="9198" width="18.7109375" style="119" customWidth="1"/>
    <col min="9199" max="9216" width="16.85546875" style="119" customWidth="1"/>
    <col min="9217" max="9232" width="16.7109375" style="119" customWidth="1"/>
    <col min="9233" max="9233" width="13.28515625" style="119" bestFit="1" customWidth="1"/>
    <col min="9234" max="9234" width="14.7109375" style="119" customWidth="1"/>
    <col min="9235" max="9444" width="9.140625" style="119"/>
    <col min="9445" max="9445" width="61.7109375" style="119" customWidth="1"/>
    <col min="9446" max="9446" width="18.5703125" style="119" customWidth="1"/>
    <col min="9447" max="9453" width="16.85546875" style="119" customWidth="1"/>
    <col min="9454" max="9454" width="18.7109375" style="119" customWidth="1"/>
    <col min="9455" max="9472" width="16.85546875" style="119" customWidth="1"/>
    <col min="9473" max="9488" width="16.7109375" style="119" customWidth="1"/>
    <col min="9489" max="9489" width="13.28515625" style="119" bestFit="1" customWidth="1"/>
    <col min="9490" max="9490" width="14.7109375" style="119" customWidth="1"/>
    <col min="9491" max="9700" width="9.140625" style="119"/>
    <col min="9701" max="9701" width="61.7109375" style="119" customWidth="1"/>
    <col min="9702" max="9702" width="18.5703125" style="119" customWidth="1"/>
    <col min="9703" max="9709" width="16.85546875" style="119" customWidth="1"/>
    <col min="9710" max="9710" width="18.7109375" style="119" customWidth="1"/>
    <col min="9711" max="9728" width="16.85546875" style="119" customWidth="1"/>
    <col min="9729" max="9744" width="16.7109375" style="119" customWidth="1"/>
    <col min="9745" max="9745" width="13.28515625" style="119" bestFit="1" customWidth="1"/>
    <col min="9746" max="9746" width="14.7109375" style="119" customWidth="1"/>
    <col min="9747" max="9956" width="9.140625" style="119"/>
    <col min="9957" max="9957" width="61.7109375" style="119" customWidth="1"/>
    <col min="9958" max="9958" width="18.5703125" style="119" customWidth="1"/>
    <col min="9959" max="9965" width="16.85546875" style="119" customWidth="1"/>
    <col min="9966" max="9966" width="18.7109375" style="119" customWidth="1"/>
    <col min="9967" max="9984" width="16.85546875" style="119" customWidth="1"/>
    <col min="9985" max="10000" width="16.7109375" style="119" customWidth="1"/>
    <col min="10001" max="10001" width="13.28515625" style="119" bestFit="1" customWidth="1"/>
    <col min="10002" max="10002" width="14.7109375" style="119" customWidth="1"/>
    <col min="10003" max="10212" width="9.140625" style="119"/>
    <col min="10213" max="10213" width="61.7109375" style="119" customWidth="1"/>
    <col min="10214" max="10214" width="18.5703125" style="119" customWidth="1"/>
    <col min="10215" max="10221" width="16.85546875" style="119" customWidth="1"/>
    <col min="10222" max="10222" width="18.7109375" style="119" customWidth="1"/>
    <col min="10223" max="10240" width="16.85546875" style="119" customWidth="1"/>
    <col min="10241" max="10256" width="16.7109375" style="119" customWidth="1"/>
    <col min="10257" max="10257" width="13.28515625" style="119" bestFit="1" customWidth="1"/>
    <col min="10258" max="10258" width="14.7109375" style="119" customWidth="1"/>
    <col min="10259" max="10468" width="9.140625" style="119"/>
    <col min="10469" max="10469" width="61.7109375" style="119" customWidth="1"/>
    <col min="10470" max="10470" width="18.5703125" style="119" customWidth="1"/>
    <col min="10471" max="10477" width="16.85546875" style="119" customWidth="1"/>
    <col min="10478" max="10478" width="18.7109375" style="119" customWidth="1"/>
    <col min="10479" max="10496" width="16.85546875" style="119" customWidth="1"/>
    <col min="10497" max="10512" width="16.7109375" style="119" customWidth="1"/>
    <col min="10513" max="10513" width="13.28515625" style="119" bestFit="1" customWidth="1"/>
    <col min="10514" max="10514" width="14.7109375" style="119" customWidth="1"/>
    <col min="10515" max="10724" width="9.140625" style="119"/>
    <col min="10725" max="10725" width="61.7109375" style="119" customWidth="1"/>
    <col min="10726" max="10726" width="18.5703125" style="119" customWidth="1"/>
    <col min="10727" max="10733" width="16.85546875" style="119" customWidth="1"/>
    <col min="10734" max="10734" width="18.7109375" style="119" customWidth="1"/>
    <col min="10735" max="10752" width="16.85546875" style="119" customWidth="1"/>
    <col min="10753" max="10768" width="16.7109375" style="119" customWidth="1"/>
    <col min="10769" max="10769" width="13.28515625" style="119" bestFit="1" customWidth="1"/>
    <col min="10770" max="10770" width="14.7109375" style="119" customWidth="1"/>
    <col min="10771" max="10980" width="9.140625" style="119"/>
    <col min="10981" max="10981" width="61.7109375" style="119" customWidth="1"/>
    <col min="10982" max="10982" width="18.5703125" style="119" customWidth="1"/>
    <col min="10983" max="10989" width="16.85546875" style="119" customWidth="1"/>
    <col min="10990" max="10990" width="18.7109375" style="119" customWidth="1"/>
    <col min="10991" max="11008" width="16.85546875" style="119" customWidth="1"/>
    <col min="11009" max="11024" width="16.7109375" style="119" customWidth="1"/>
    <col min="11025" max="11025" width="13.28515625" style="119" bestFit="1" customWidth="1"/>
    <col min="11026" max="11026" width="14.7109375" style="119" customWidth="1"/>
    <col min="11027" max="11236" width="9.140625" style="119"/>
    <col min="11237" max="11237" width="61.7109375" style="119" customWidth="1"/>
    <col min="11238" max="11238" width="18.5703125" style="119" customWidth="1"/>
    <col min="11239" max="11245" width="16.85546875" style="119" customWidth="1"/>
    <col min="11246" max="11246" width="18.7109375" style="119" customWidth="1"/>
    <col min="11247" max="11264" width="16.85546875" style="119" customWidth="1"/>
    <col min="11265" max="11280" width="16.7109375" style="119" customWidth="1"/>
    <col min="11281" max="11281" width="13.28515625" style="119" bestFit="1" customWidth="1"/>
    <col min="11282" max="11282" width="14.7109375" style="119" customWidth="1"/>
    <col min="11283" max="11492" width="9.140625" style="119"/>
    <col min="11493" max="11493" width="61.7109375" style="119" customWidth="1"/>
    <col min="11494" max="11494" width="18.5703125" style="119" customWidth="1"/>
    <col min="11495" max="11501" width="16.85546875" style="119" customWidth="1"/>
    <col min="11502" max="11502" width="18.7109375" style="119" customWidth="1"/>
    <col min="11503" max="11520" width="16.85546875" style="119" customWidth="1"/>
    <col min="11521" max="11536" width="16.7109375" style="119" customWidth="1"/>
    <col min="11537" max="11537" width="13.28515625" style="119" bestFit="1" customWidth="1"/>
    <col min="11538" max="11538" width="14.7109375" style="119" customWidth="1"/>
    <col min="11539" max="11748" width="9.140625" style="119"/>
    <col min="11749" max="11749" width="61.7109375" style="119" customWidth="1"/>
    <col min="11750" max="11750" width="18.5703125" style="119" customWidth="1"/>
    <col min="11751" max="11757" width="16.85546875" style="119" customWidth="1"/>
    <col min="11758" max="11758" width="18.7109375" style="119" customWidth="1"/>
    <col min="11759" max="11776" width="16.85546875" style="119" customWidth="1"/>
    <col min="11777" max="11792" width="16.7109375" style="119" customWidth="1"/>
    <col min="11793" max="11793" width="13.28515625" style="119" bestFit="1" customWidth="1"/>
    <col min="11794" max="11794" width="14.7109375" style="119" customWidth="1"/>
    <col min="11795" max="12004" width="9.140625" style="119"/>
    <col min="12005" max="12005" width="61.7109375" style="119" customWidth="1"/>
    <col min="12006" max="12006" width="18.5703125" style="119" customWidth="1"/>
    <col min="12007" max="12013" width="16.85546875" style="119" customWidth="1"/>
    <col min="12014" max="12014" width="18.7109375" style="119" customWidth="1"/>
    <col min="12015" max="12032" width="16.85546875" style="119" customWidth="1"/>
    <col min="12033" max="12048" width="16.7109375" style="119" customWidth="1"/>
    <col min="12049" max="12049" width="13.28515625" style="119" bestFit="1" customWidth="1"/>
    <col min="12050" max="12050" width="14.7109375" style="119" customWidth="1"/>
    <col min="12051" max="12260" width="9.140625" style="119"/>
    <col min="12261" max="12261" width="61.7109375" style="119" customWidth="1"/>
    <col min="12262" max="12262" width="18.5703125" style="119" customWidth="1"/>
    <col min="12263" max="12269" width="16.85546875" style="119" customWidth="1"/>
    <col min="12270" max="12270" width="18.7109375" style="119" customWidth="1"/>
    <col min="12271" max="12288" width="16.85546875" style="119" customWidth="1"/>
    <col min="12289" max="12304" width="16.7109375" style="119" customWidth="1"/>
    <col min="12305" max="12305" width="13.28515625" style="119" bestFit="1" customWidth="1"/>
    <col min="12306" max="12306" width="14.7109375" style="119" customWidth="1"/>
    <col min="12307" max="12516" width="9.140625" style="119"/>
    <col min="12517" max="12517" width="61.7109375" style="119" customWidth="1"/>
    <col min="12518" max="12518" width="18.5703125" style="119" customWidth="1"/>
    <col min="12519" max="12525" width="16.85546875" style="119" customWidth="1"/>
    <col min="12526" max="12526" width="18.7109375" style="119" customWidth="1"/>
    <col min="12527" max="12544" width="16.85546875" style="119" customWidth="1"/>
    <col min="12545" max="12560" width="16.7109375" style="119" customWidth="1"/>
    <col min="12561" max="12561" width="13.28515625" style="119" bestFit="1" customWidth="1"/>
    <col min="12562" max="12562" width="14.7109375" style="119" customWidth="1"/>
    <col min="12563" max="12772" width="9.140625" style="119"/>
    <col min="12773" max="12773" width="61.7109375" style="119" customWidth="1"/>
    <col min="12774" max="12774" width="18.5703125" style="119" customWidth="1"/>
    <col min="12775" max="12781" width="16.85546875" style="119" customWidth="1"/>
    <col min="12782" max="12782" width="18.7109375" style="119" customWidth="1"/>
    <col min="12783" max="12800" width="16.85546875" style="119" customWidth="1"/>
    <col min="12801" max="12816" width="16.7109375" style="119" customWidth="1"/>
    <col min="12817" max="12817" width="13.28515625" style="119" bestFit="1" customWidth="1"/>
    <col min="12818" max="12818" width="14.7109375" style="119" customWidth="1"/>
    <col min="12819" max="13028" width="9.140625" style="119"/>
    <col min="13029" max="13029" width="61.7109375" style="119" customWidth="1"/>
    <col min="13030" max="13030" width="18.5703125" style="119" customWidth="1"/>
    <col min="13031" max="13037" width="16.85546875" style="119" customWidth="1"/>
    <col min="13038" max="13038" width="18.7109375" style="119" customWidth="1"/>
    <col min="13039" max="13056" width="16.85546875" style="119" customWidth="1"/>
    <col min="13057" max="13072" width="16.7109375" style="119" customWidth="1"/>
    <col min="13073" max="13073" width="13.28515625" style="119" bestFit="1" customWidth="1"/>
    <col min="13074" max="13074" width="14.7109375" style="119" customWidth="1"/>
    <col min="13075" max="13284" width="9.140625" style="119"/>
    <col min="13285" max="13285" width="61.7109375" style="119" customWidth="1"/>
    <col min="13286" max="13286" width="18.5703125" style="119" customWidth="1"/>
    <col min="13287" max="13293" width="16.85546875" style="119" customWidth="1"/>
    <col min="13294" max="13294" width="18.7109375" style="119" customWidth="1"/>
    <col min="13295" max="13312" width="16.85546875" style="119" customWidth="1"/>
    <col min="13313" max="13328" width="16.7109375" style="119" customWidth="1"/>
    <col min="13329" max="13329" width="13.28515625" style="119" bestFit="1" customWidth="1"/>
    <col min="13330" max="13330" width="14.7109375" style="119" customWidth="1"/>
    <col min="13331" max="13540" width="9.140625" style="119"/>
    <col min="13541" max="13541" width="61.7109375" style="119" customWidth="1"/>
    <col min="13542" max="13542" width="18.5703125" style="119" customWidth="1"/>
    <col min="13543" max="13549" width="16.85546875" style="119" customWidth="1"/>
    <col min="13550" max="13550" width="18.7109375" style="119" customWidth="1"/>
    <col min="13551" max="13568" width="16.85546875" style="119" customWidth="1"/>
    <col min="13569" max="13584" width="16.7109375" style="119" customWidth="1"/>
    <col min="13585" max="13585" width="13.28515625" style="119" bestFit="1" customWidth="1"/>
    <col min="13586" max="13586" width="14.7109375" style="119" customWidth="1"/>
    <col min="13587" max="13796" width="9.140625" style="119"/>
    <col min="13797" max="13797" width="61.7109375" style="119" customWidth="1"/>
    <col min="13798" max="13798" width="18.5703125" style="119" customWidth="1"/>
    <col min="13799" max="13805" width="16.85546875" style="119" customWidth="1"/>
    <col min="13806" max="13806" width="18.7109375" style="119" customWidth="1"/>
    <col min="13807" max="13824" width="16.85546875" style="119" customWidth="1"/>
    <col min="13825" max="13840" width="16.7109375" style="119" customWidth="1"/>
    <col min="13841" max="13841" width="13.28515625" style="119" bestFit="1" customWidth="1"/>
    <col min="13842" max="13842" width="14.7109375" style="119" customWidth="1"/>
    <col min="13843" max="14052" width="9.140625" style="119"/>
    <col min="14053" max="14053" width="61.7109375" style="119" customWidth="1"/>
    <col min="14054" max="14054" width="18.5703125" style="119" customWidth="1"/>
    <col min="14055" max="14061" width="16.85546875" style="119" customWidth="1"/>
    <col min="14062" max="14062" width="18.7109375" style="119" customWidth="1"/>
    <col min="14063" max="14080" width="16.85546875" style="119" customWidth="1"/>
    <col min="14081" max="14096" width="16.7109375" style="119" customWidth="1"/>
    <col min="14097" max="14097" width="13.28515625" style="119" bestFit="1" customWidth="1"/>
    <col min="14098" max="14098" width="14.7109375" style="119" customWidth="1"/>
    <col min="14099" max="14308" width="9.140625" style="119"/>
    <col min="14309" max="14309" width="61.7109375" style="119" customWidth="1"/>
    <col min="14310" max="14310" width="18.5703125" style="119" customWidth="1"/>
    <col min="14311" max="14317" width="16.85546875" style="119" customWidth="1"/>
    <col min="14318" max="14318" width="18.7109375" style="119" customWidth="1"/>
    <col min="14319" max="14336" width="16.85546875" style="119" customWidth="1"/>
    <col min="14337" max="14352" width="16.7109375" style="119" customWidth="1"/>
    <col min="14353" max="14353" width="13.28515625" style="119" bestFit="1" customWidth="1"/>
    <col min="14354" max="14354" width="14.7109375" style="119" customWidth="1"/>
    <col min="14355" max="14564" width="9.140625" style="119"/>
    <col min="14565" max="14565" width="61.7109375" style="119" customWidth="1"/>
    <col min="14566" max="14566" width="18.5703125" style="119" customWidth="1"/>
    <col min="14567" max="14573" width="16.85546875" style="119" customWidth="1"/>
    <col min="14574" max="14574" width="18.7109375" style="119" customWidth="1"/>
    <col min="14575" max="14592" width="16.85546875" style="119" customWidth="1"/>
    <col min="14593" max="14608" width="16.7109375" style="119" customWidth="1"/>
    <col min="14609" max="14609" width="13.28515625" style="119" bestFit="1" customWidth="1"/>
    <col min="14610" max="14610" width="14.7109375" style="119" customWidth="1"/>
    <col min="14611" max="14820" width="9.140625" style="119"/>
    <col min="14821" max="14821" width="61.7109375" style="119" customWidth="1"/>
    <col min="14822" max="14822" width="18.5703125" style="119" customWidth="1"/>
    <col min="14823" max="14829" width="16.85546875" style="119" customWidth="1"/>
    <col min="14830" max="14830" width="18.7109375" style="119" customWidth="1"/>
    <col min="14831" max="14848" width="16.85546875" style="119" customWidth="1"/>
    <col min="14849" max="14864" width="16.7109375" style="119" customWidth="1"/>
    <col min="14865" max="14865" width="13.28515625" style="119" bestFit="1" customWidth="1"/>
    <col min="14866" max="14866" width="14.7109375" style="119" customWidth="1"/>
    <col min="14867" max="15076" width="9.140625" style="119"/>
    <col min="15077" max="15077" width="61.7109375" style="119" customWidth="1"/>
    <col min="15078" max="15078" width="18.5703125" style="119" customWidth="1"/>
    <col min="15079" max="15085" width="16.85546875" style="119" customWidth="1"/>
    <col min="15086" max="15086" width="18.7109375" style="119" customWidth="1"/>
    <col min="15087" max="15104" width="16.85546875" style="119" customWidth="1"/>
    <col min="15105" max="15120" width="16.7109375" style="119" customWidth="1"/>
    <col min="15121" max="15121" width="13.28515625" style="119" bestFit="1" customWidth="1"/>
    <col min="15122" max="15122" width="14.7109375" style="119" customWidth="1"/>
    <col min="15123" max="15332" width="9.140625" style="119"/>
    <col min="15333" max="15333" width="61.7109375" style="119" customWidth="1"/>
    <col min="15334" max="15334" width="18.5703125" style="119" customWidth="1"/>
    <col min="15335" max="15341" width="16.85546875" style="119" customWidth="1"/>
    <col min="15342" max="15342" width="18.7109375" style="119" customWidth="1"/>
    <col min="15343" max="15360" width="16.85546875" style="119" customWidth="1"/>
    <col min="15361" max="15376" width="16.7109375" style="119" customWidth="1"/>
    <col min="15377" max="15377" width="13.28515625" style="119" bestFit="1" customWidth="1"/>
    <col min="15378" max="15378" width="14.7109375" style="119" customWidth="1"/>
    <col min="15379" max="15588" width="9.140625" style="119"/>
    <col min="15589" max="15589" width="61.7109375" style="119" customWidth="1"/>
    <col min="15590" max="15590" width="18.5703125" style="119" customWidth="1"/>
    <col min="15591" max="15597" width="16.85546875" style="119" customWidth="1"/>
    <col min="15598" max="15598" width="18.7109375" style="119" customWidth="1"/>
    <col min="15599" max="15616" width="16.85546875" style="119" customWidth="1"/>
    <col min="15617" max="15632" width="16.7109375" style="119" customWidth="1"/>
    <col min="15633" max="15633" width="13.28515625" style="119" bestFit="1" customWidth="1"/>
    <col min="15634" max="15634" width="14.7109375" style="119" customWidth="1"/>
    <col min="15635" max="15844" width="9.140625" style="119"/>
    <col min="15845" max="15845" width="61.7109375" style="119" customWidth="1"/>
    <col min="15846" max="15846" width="18.5703125" style="119" customWidth="1"/>
    <col min="15847" max="15853" width="16.85546875" style="119" customWidth="1"/>
    <col min="15854" max="15854" width="18.7109375" style="119" customWidth="1"/>
    <col min="15855" max="15872" width="16.85546875" style="119" customWidth="1"/>
    <col min="15873" max="15888" width="16.7109375" style="119" customWidth="1"/>
    <col min="15889" max="15889" width="13.28515625" style="119" bestFit="1" customWidth="1"/>
    <col min="15890" max="15890" width="14.7109375" style="119" customWidth="1"/>
    <col min="15891" max="16100" width="9.140625" style="119"/>
    <col min="16101" max="16101" width="61.7109375" style="119" customWidth="1"/>
    <col min="16102" max="16102" width="18.5703125" style="119" customWidth="1"/>
    <col min="16103" max="16109" width="16.85546875" style="119" customWidth="1"/>
    <col min="16110" max="16110" width="18.7109375" style="119" customWidth="1"/>
    <col min="16111" max="16128" width="16.85546875" style="119" customWidth="1"/>
    <col min="16129" max="16144" width="16.7109375" style="119" customWidth="1"/>
    <col min="16145" max="16145" width="13.28515625" style="119" bestFit="1" customWidth="1"/>
    <col min="16146" max="16146" width="14.7109375" style="119" customWidth="1"/>
    <col min="16147" max="16384" width="9.140625" style="119"/>
  </cols>
  <sheetData>
    <row r="1" spans="1:30" ht="18.75" x14ac:dyDescent="0.2">
      <c r="A1" s="69"/>
      <c r="B1" s="69"/>
      <c r="C1" s="69"/>
      <c r="D1" s="69"/>
      <c r="E1" s="69"/>
      <c r="F1" s="69"/>
      <c r="G1" s="69"/>
      <c r="H1" s="69"/>
      <c r="I1" s="69"/>
      <c r="J1" s="69"/>
      <c r="K1" s="128"/>
      <c r="L1" s="69"/>
      <c r="M1" s="69"/>
      <c r="N1" s="69"/>
      <c r="O1" s="69"/>
      <c r="P1" s="128" t="s">
        <v>65</v>
      </c>
      <c r="Q1" s="69"/>
      <c r="R1" s="69"/>
      <c r="S1" s="69"/>
      <c r="T1" s="69"/>
      <c r="U1" s="69"/>
      <c r="V1" s="69"/>
      <c r="W1" s="69"/>
      <c r="X1" s="69"/>
      <c r="Y1" s="69"/>
      <c r="Z1" s="69"/>
      <c r="AA1" s="69"/>
      <c r="AB1" s="69"/>
      <c r="AC1" s="69"/>
    </row>
    <row r="2" spans="1:30" ht="18.75" x14ac:dyDescent="0.3">
      <c r="A2" s="69"/>
      <c r="B2" s="69"/>
      <c r="C2" s="69"/>
      <c r="D2" s="69"/>
      <c r="E2" s="69"/>
      <c r="F2" s="69"/>
      <c r="G2" s="69"/>
      <c r="H2" s="69"/>
      <c r="I2" s="69"/>
      <c r="J2" s="69"/>
      <c r="K2" s="129"/>
      <c r="L2" s="69"/>
      <c r="M2" s="69"/>
      <c r="N2" s="69"/>
      <c r="O2" s="69"/>
      <c r="P2" s="129" t="s">
        <v>7</v>
      </c>
      <c r="Q2" s="69"/>
      <c r="R2" s="69"/>
      <c r="S2" s="69"/>
      <c r="T2" s="69"/>
      <c r="U2" s="69"/>
      <c r="V2" s="69"/>
      <c r="W2" s="69"/>
      <c r="X2" s="69"/>
      <c r="Y2" s="69"/>
      <c r="Z2" s="69"/>
      <c r="AA2" s="69"/>
      <c r="AB2" s="69"/>
      <c r="AC2" s="69"/>
    </row>
    <row r="3" spans="1:30" ht="18.75" x14ac:dyDescent="0.3">
      <c r="A3" s="177"/>
      <c r="B3" s="69"/>
      <c r="C3" s="69"/>
      <c r="D3" s="69"/>
      <c r="E3" s="69"/>
      <c r="F3" s="69"/>
      <c r="G3" s="69"/>
      <c r="H3" s="69"/>
      <c r="I3" s="69"/>
      <c r="J3" s="69"/>
      <c r="K3" s="129"/>
      <c r="L3" s="69"/>
      <c r="M3" s="69"/>
      <c r="N3" s="69"/>
      <c r="O3" s="69"/>
      <c r="P3" s="129" t="s">
        <v>253</v>
      </c>
      <c r="Q3" s="69"/>
      <c r="R3" s="69"/>
      <c r="S3" s="69"/>
      <c r="T3" s="69"/>
      <c r="U3" s="69"/>
      <c r="V3" s="69"/>
      <c r="W3" s="69"/>
      <c r="X3" s="69"/>
      <c r="Y3" s="69"/>
      <c r="Z3" s="69"/>
      <c r="AA3" s="69"/>
      <c r="AB3" s="69"/>
      <c r="AC3" s="69"/>
    </row>
    <row r="4" spans="1:30" ht="18.75" x14ac:dyDescent="0.3">
      <c r="A4" s="177"/>
      <c r="B4" s="69"/>
      <c r="C4" s="69"/>
      <c r="D4" s="69"/>
      <c r="E4" s="69"/>
      <c r="F4" s="69"/>
      <c r="G4" s="69"/>
      <c r="H4" s="69"/>
      <c r="I4" s="69"/>
      <c r="J4" s="69"/>
      <c r="K4" s="129"/>
      <c r="L4" s="69"/>
      <c r="M4" s="69"/>
      <c r="N4" s="69"/>
      <c r="O4" s="69"/>
      <c r="P4" s="69"/>
      <c r="Q4" s="69"/>
      <c r="R4" s="69"/>
      <c r="S4" s="69"/>
      <c r="T4" s="69"/>
      <c r="U4" s="69"/>
      <c r="V4" s="69"/>
      <c r="W4" s="69"/>
      <c r="X4" s="69"/>
      <c r="Y4" s="69"/>
      <c r="Z4" s="69"/>
      <c r="AA4" s="69"/>
      <c r="AB4" s="69"/>
      <c r="AC4" s="69"/>
      <c r="AD4" s="69"/>
    </row>
    <row r="5" spans="1:30" x14ac:dyDescent="0.2">
      <c r="A5" s="409" t="str">
        <f>'4. паспортбюджет'!A5</f>
        <v>Год раскрытия информации: 2023 год</v>
      </c>
      <c r="B5" s="409"/>
      <c r="C5" s="409"/>
      <c r="D5" s="409"/>
      <c r="E5" s="409"/>
      <c r="F5" s="409"/>
      <c r="G5" s="409"/>
      <c r="H5" s="409"/>
      <c r="I5" s="409"/>
      <c r="J5" s="409"/>
      <c r="K5" s="409"/>
      <c r="L5" s="409"/>
      <c r="M5" s="409"/>
      <c r="N5" s="409"/>
      <c r="O5" s="409"/>
      <c r="P5" s="409"/>
      <c r="Q5" s="44"/>
      <c r="R5" s="44"/>
      <c r="S5" s="44"/>
      <c r="T5" s="44"/>
      <c r="U5" s="44"/>
      <c r="V5" s="44"/>
      <c r="W5" s="44"/>
      <c r="X5" s="44"/>
      <c r="Y5" s="44"/>
      <c r="Z5" s="44"/>
      <c r="AA5" s="44"/>
      <c r="AB5" s="44"/>
      <c r="AC5" s="44"/>
      <c r="AD5" s="44"/>
    </row>
    <row r="6" spans="1:30" ht="18.75" x14ac:dyDescent="0.3">
      <c r="A6" s="177"/>
      <c r="B6" s="69"/>
      <c r="C6" s="69"/>
      <c r="D6" s="69"/>
      <c r="E6" s="69"/>
      <c r="F6" s="69"/>
      <c r="G6" s="69"/>
      <c r="H6" s="69"/>
      <c r="I6" s="69"/>
      <c r="J6" s="69"/>
      <c r="K6" s="129"/>
      <c r="L6" s="69"/>
      <c r="M6" s="69"/>
      <c r="N6" s="69"/>
      <c r="O6" s="69"/>
      <c r="P6" s="69"/>
      <c r="Q6" s="69"/>
      <c r="R6" s="69"/>
      <c r="S6" s="69"/>
      <c r="T6" s="69"/>
      <c r="U6" s="69"/>
      <c r="V6" s="69"/>
      <c r="W6" s="69"/>
      <c r="X6" s="69"/>
      <c r="Y6" s="69"/>
      <c r="Z6" s="69"/>
      <c r="AA6" s="69"/>
      <c r="AB6" s="69"/>
      <c r="AC6" s="69"/>
      <c r="AD6" s="69"/>
    </row>
    <row r="7" spans="1:30" ht="18.75" x14ac:dyDescent="0.2">
      <c r="A7" s="496" t="s">
        <v>6</v>
      </c>
      <c r="B7" s="496"/>
      <c r="C7" s="496"/>
      <c r="D7" s="496"/>
      <c r="E7" s="496"/>
      <c r="F7" s="496"/>
      <c r="G7" s="496"/>
      <c r="H7" s="496"/>
      <c r="I7" s="496"/>
      <c r="J7" s="496"/>
      <c r="K7" s="496"/>
      <c r="L7" s="496"/>
      <c r="M7" s="496"/>
      <c r="N7" s="496"/>
      <c r="O7" s="496"/>
      <c r="P7" s="496"/>
      <c r="Q7" s="178"/>
      <c r="R7" s="178"/>
      <c r="S7" s="178"/>
      <c r="T7" s="178"/>
      <c r="U7" s="178"/>
      <c r="V7" s="178"/>
      <c r="W7" s="178"/>
      <c r="X7" s="178"/>
      <c r="Y7" s="178"/>
      <c r="Z7" s="178"/>
      <c r="AA7" s="178"/>
      <c r="AB7" s="178"/>
      <c r="AC7" s="178"/>
      <c r="AD7" s="178"/>
    </row>
    <row r="8" spans="1:30" ht="18.75" x14ac:dyDescent="0.2">
      <c r="A8" s="140"/>
      <c r="B8" s="140"/>
      <c r="C8" s="140"/>
      <c r="D8" s="140"/>
      <c r="E8" s="140"/>
      <c r="F8" s="140"/>
      <c r="G8" s="140"/>
      <c r="H8" s="140"/>
      <c r="I8" s="140"/>
      <c r="J8" s="140"/>
      <c r="K8" s="140"/>
      <c r="L8" s="178"/>
      <c r="M8" s="178"/>
      <c r="N8" s="178"/>
      <c r="O8" s="178"/>
      <c r="P8" s="178"/>
      <c r="Q8" s="178"/>
      <c r="R8" s="178"/>
      <c r="S8" s="178"/>
      <c r="T8" s="178"/>
      <c r="U8" s="178"/>
      <c r="V8" s="178"/>
      <c r="W8" s="178"/>
      <c r="X8" s="178"/>
      <c r="Y8" s="178"/>
      <c r="Z8" s="69"/>
      <c r="AA8" s="69"/>
      <c r="AB8" s="69"/>
      <c r="AC8" s="69"/>
      <c r="AD8" s="69"/>
    </row>
    <row r="9" spans="1:30" x14ac:dyDescent="0.2">
      <c r="A9" s="497" t="str">
        <f>'4. паспортбюджет'!A9</f>
        <v>Акционерное общество "Россети Янтарь"</v>
      </c>
      <c r="B9" s="497"/>
      <c r="C9" s="497"/>
      <c r="D9" s="497"/>
      <c r="E9" s="497"/>
      <c r="F9" s="497"/>
      <c r="G9" s="497"/>
      <c r="H9" s="497"/>
      <c r="I9" s="497"/>
      <c r="J9" s="497"/>
      <c r="K9" s="497"/>
      <c r="L9" s="497"/>
      <c r="M9" s="497"/>
      <c r="N9" s="497"/>
      <c r="O9" s="497"/>
      <c r="P9" s="497"/>
      <c r="Q9" s="179"/>
      <c r="R9" s="179"/>
      <c r="S9" s="179"/>
      <c r="T9" s="179"/>
      <c r="U9" s="179"/>
      <c r="V9" s="179"/>
      <c r="W9" s="179"/>
      <c r="X9" s="179"/>
      <c r="Y9" s="179"/>
      <c r="Z9" s="179"/>
      <c r="AA9" s="179"/>
      <c r="AB9" s="179"/>
      <c r="AC9" s="179"/>
      <c r="AD9" s="179"/>
    </row>
    <row r="10" spans="1:30" x14ac:dyDescent="0.2">
      <c r="A10" s="493" t="s">
        <v>5</v>
      </c>
      <c r="B10" s="493"/>
      <c r="C10" s="493"/>
      <c r="D10" s="493"/>
      <c r="E10" s="493"/>
      <c r="F10" s="493"/>
      <c r="G10" s="493"/>
      <c r="H10" s="493"/>
      <c r="I10" s="493"/>
      <c r="J10" s="493"/>
      <c r="K10" s="493"/>
      <c r="L10" s="493"/>
      <c r="M10" s="493"/>
      <c r="N10" s="493"/>
      <c r="O10" s="493"/>
      <c r="P10" s="493"/>
      <c r="Q10" s="180"/>
      <c r="R10" s="180"/>
      <c r="S10" s="180"/>
      <c r="T10" s="180"/>
      <c r="U10" s="180"/>
      <c r="V10" s="180"/>
      <c r="W10" s="180"/>
      <c r="X10" s="180"/>
      <c r="Y10" s="180"/>
      <c r="Z10" s="180"/>
      <c r="AA10" s="180"/>
      <c r="AB10" s="180"/>
      <c r="AC10" s="180"/>
      <c r="AD10" s="180"/>
    </row>
    <row r="11" spans="1:30" ht="18.75" x14ac:dyDescent="0.2">
      <c r="A11" s="140"/>
      <c r="B11" s="140"/>
      <c r="C11" s="140"/>
      <c r="D11" s="140"/>
      <c r="E11" s="140"/>
      <c r="F11" s="140"/>
      <c r="G11" s="140"/>
      <c r="H11" s="140"/>
      <c r="I11" s="140"/>
      <c r="J11" s="140"/>
      <c r="K11" s="140"/>
      <c r="L11" s="178"/>
      <c r="M11" s="178"/>
      <c r="N11" s="178"/>
      <c r="O11" s="178"/>
      <c r="P11" s="178"/>
      <c r="Q11" s="178"/>
      <c r="R11" s="178"/>
      <c r="S11" s="178"/>
      <c r="T11" s="178"/>
      <c r="U11" s="178"/>
      <c r="V11" s="178"/>
      <c r="W11" s="178"/>
      <c r="X11" s="178"/>
      <c r="Y11" s="178"/>
      <c r="Z11" s="69"/>
      <c r="AA11" s="69"/>
      <c r="AB11" s="69"/>
      <c r="AC11" s="69"/>
      <c r="AD11" s="69"/>
    </row>
    <row r="12" spans="1:30" x14ac:dyDescent="0.2">
      <c r="A12" s="497" t="str">
        <f>'4. паспортбюджет'!A12</f>
        <v>L_19-1035</v>
      </c>
      <c r="B12" s="497"/>
      <c r="C12" s="497"/>
      <c r="D12" s="497"/>
      <c r="E12" s="497"/>
      <c r="F12" s="497"/>
      <c r="G12" s="497"/>
      <c r="H12" s="497"/>
      <c r="I12" s="497"/>
      <c r="J12" s="497"/>
      <c r="K12" s="497"/>
      <c r="L12" s="497"/>
      <c r="M12" s="497"/>
      <c r="N12" s="497"/>
      <c r="O12" s="497"/>
      <c r="P12" s="497"/>
      <c r="Q12" s="179"/>
      <c r="R12" s="179"/>
      <c r="S12" s="179"/>
      <c r="T12" s="179"/>
      <c r="U12" s="179"/>
      <c r="V12" s="179"/>
      <c r="W12" s="179"/>
      <c r="X12" s="179"/>
      <c r="Y12" s="179"/>
      <c r="Z12" s="179"/>
      <c r="AA12" s="179"/>
      <c r="AB12" s="179"/>
      <c r="AC12" s="179"/>
      <c r="AD12" s="179"/>
    </row>
    <row r="13" spans="1:30" x14ac:dyDescent="0.2">
      <c r="A13" s="493" t="s">
        <v>4</v>
      </c>
      <c r="B13" s="493"/>
      <c r="C13" s="493"/>
      <c r="D13" s="493"/>
      <c r="E13" s="493"/>
      <c r="F13" s="493"/>
      <c r="G13" s="493"/>
      <c r="H13" s="493"/>
      <c r="I13" s="493"/>
      <c r="J13" s="493"/>
      <c r="K13" s="493"/>
      <c r="L13" s="493"/>
      <c r="M13" s="493"/>
      <c r="N13" s="493"/>
      <c r="O13" s="493"/>
      <c r="P13" s="493"/>
      <c r="Q13" s="180"/>
      <c r="R13" s="180"/>
      <c r="S13" s="180"/>
      <c r="T13" s="180"/>
      <c r="U13" s="180"/>
      <c r="V13" s="180"/>
      <c r="W13" s="180"/>
      <c r="X13" s="180"/>
      <c r="Y13" s="180"/>
      <c r="Z13" s="180"/>
      <c r="AA13" s="180"/>
      <c r="AB13" s="180"/>
      <c r="AC13" s="180"/>
      <c r="AD13" s="180"/>
    </row>
    <row r="14" spans="1:30" ht="18.75" x14ac:dyDescent="0.2">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81"/>
      <c r="AA14" s="181"/>
      <c r="AB14" s="181"/>
      <c r="AC14" s="181"/>
      <c r="AD14" s="181"/>
    </row>
    <row r="15" spans="1:30" ht="101.25" customHeight="1" x14ac:dyDescent="0.2">
      <c r="A15" s="494" t="str">
        <f>'4. паспортбюджет'!A15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94"/>
      <c r="C15" s="494"/>
      <c r="D15" s="494"/>
      <c r="E15" s="494"/>
      <c r="F15" s="494"/>
      <c r="G15" s="494"/>
      <c r="H15" s="494"/>
      <c r="I15" s="494"/>
      <c r="J15" s="494"/>
      <c r="K15" s="494"/>
      <c r="L15" s="494"/>
      <c r="M15" s="494"/>
      <c r="N15" s="494"/>
      <c r="O15" s="494"/>
      <c r="P15" s="494"/>
      <c r="Q15" s="182"/>
      <c r="R15" s="182"/>
      <c r="S15" s="182"/>
      <c r="T15" s="182"/>
      <c r="U15" s="182"/>
      <c r="V15" s="182"/>
      <c r="W15" s="182"/>
      <c r="X15" s="182"/>
      <c r="Y15" s="182"/>
      <c r="Z15" s="182"/>
      <c r="AA15" s="182"/>
      <c r="AB15" s="182"/>
      <c r="AC15" s="182"/>
      <c r="AD15" s="182"/>
    </row>
    <row r="16" spans="1:30" x14ac:dyDescent="0.2">
      <c r="A16" s="493" t="s">
        <v>3</v>
      </c>
      <c r="B16" s="493"/>
      <c r="C16" s="493"/>
      <c r="D16" s="493"/>
      <c r="E16" s="493"/>
      <c r="F16" s="493"/>
      <c r="G16" s="493"/>
      <c r="H16" s="493"/>
      <c r="I16" s="493"/>
      <c r="J16" s="493"/>
      <c r="K16" s="493"/>
      <c r="L16" s="493"/>
      <c r="M16" s="493"/>
      <c r="N16" s="493"/>
      <c r="O16" s="493"/>
      <c r="P16" s="493"/>
      <c r="Q16" s="180"/>
      <c r="R16" s="180"/>
      <c r="S16" s="180"/>
      <c r="T16" s="180"/>
      <c r="U16" s="180"/>
      <c r="V16" s="180"/>
      <c r="W16" s="180"/>
      <c r="X16" s="180"/>
      <c r="Y16" s="180"/>
      <c r="Z16" s="180"/>
      <c r="AA16" s="180"/>
      <c r="AB16" s="180"/>
      <c r="AC16" s="180"/>
      <c r="AD16" s="180"/>
    </row>
    <row r="17" spans="1:33"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184"/>
      <c r="X17" s="184"/>
      <c r="Y17" s="184"/>
      <c r="Z17" s="184"/>
      <c r="AA17" s="184"/>
      <c r="AB17" s="184"/>
      <c r="AC17" s="184"/>
      <c r="AD17" s="184"/>
    </row>
    <row r="18" spans="1:33" ht="18.75" x14ac:dyDescent="0.2">
      <c r="A18" s="413" t="s">
        <v>346</v>
      </c>
      <c r="B18" s="413"/>
      <c r="C18" s="413"/>
      <c r="D18" s="413"/>
      <c r="E18" s="413"/>
      <c r="F18" s="413"/>
      <c r="G18" s="413"/>
      <c r="H18" s="413"/>
      <c r="I18" s="413"/>
      <c r="J18" s="413"/>
      <c r="K18" s="413"/>
      <c r="L18" s="413"/>
      <c r="M18" s="413"/>
      <c r="N18" s="413"/>
      <c r="O18" s="413"/>
      <c r="P18" s="413"/>
      <c r="Q18" s="185"/>
      <c r="R18" s="185"/>
      <c r="S18" s="185"/>
      <c r="T18" s="185"/>
      <c r="U18" s="185"/>
      <c r="V18" s="185"/>
      <c r="W18" s="185"/>
      <c r="X18" s="185"/>
      <c r="Y18" s="185"/>
      <c r="Z18" s="185"/>
      <c r="AA18" s="185"/>
      <c r="AB18" s="185"/>
      <c r="AC18" s="185"/>
      <c r="AD18" s="185"/>
    </row>
    <row r="19" spans="1:33" ht="18.75" hidden="1" x14ac:dyDescent="0.2">
      <c r="A19" s="215"/>
      <c r="B19" s="215"/>
      <c r="C19" s="215"/>
      <c r="D19" s="215"/>
      <c r="E19" s="215"/>
      <c r="F19" s="215"/>
      <c r="G19" s="215"/>
      <c r="H19" s="215"/>
      <c r="I19" s="215"/>
      <c r="J19" s="215"/>
      <c r="K19" s="215"/>
      <c r="L19" s="215"/>
      <c r="M19" s="215"/>
      <c r="N19" s="215"/>
      <c r="O19" s="215"/>
      <c r="P19" s="215"/>
      <c r="Q19" s="185"/>
      <c r="R19" s="185"/>
      <c r="S19" s="185"/>
      <c r="T19" s="185"/>
      <c r="U19" s="185"/>
      <c r="V19" s="185"/>
      <c r="W19" s="185"/>
      <c r="X19" s="185"/>
      <c r="Y19" s="185"/>
      <c r="Z19" s="185"/>
      <c r="AA19" s="185"/>
      <c r="AB19" s="185"/>
      <c r="AC19" s="185"/>
      <c r="AD19" s="185"/>
    </row>
    <row r="20" spans="1:33" ht="18.75" hidden="1" x14ac:dyDescent="0.2">
      <c r="A20" s="215"/>
      <c r="B20" s="215"/>
      <c r="C20" s="215"/>
      <c r="D20" s="215"/>
      <c r="E20" s="215"/>
      <c r="F20" s="215"/>
      <c r="G20" s="215"/>
      <c r="H20" s="215"/>
      <c r="I20" s="215"/>
      <c r="J20" s="215"/>
      <c r="K20" s="215"/>
      <c r="L20" s="215"/>
      <c r="M20" s="215"/>
      <c r="N20" s="215"/>
      <c r="O20" s="215"/>
      <c r="P20" s="215"/>
      <c r="Q20" s="185"/>
      <c r="R20" s="185"/>
      <c r="S20" s="185"/>
      <c r="T20" s="185"/>
      <c r="U20" s="185"/>
      <c r="V20" s="185"/>
      <c r="W20" s="185"/>
      <c r="X20" s="185"/>
      <c r="Y20" s="185"/>
      <c r="Z20" s="185"/>
      <c r="AA20" s="185"/>
      <c r="AB20" s="185"/>
      <c r="AC20" s="185"/>
      <c r="AD20" s="185"/>
    </row>
    <row r="21" spans="1:33" ht="18.75" hidden="1" x14ac:dyDescent="0.2">
      <c r="A21" s="215"/>
      <c r="B21" s="215"/>
      <c r="C21" s="215"/>
      <c r="D21" s="215"/>
      <c r="E21" s="215"/>
      <c r="F21" s="215"/>
      <c r="G21" s="215"/>
      <c r="H21" s="215"/>
      <c r="I21" s="215"/>
      <c r="J21" s="215"/>
      <c r="K21" s="215"/>
      <c r="L21" s="215"/>
      <c r="M21" s="215"/>
      <c r="N21" s="215"/>
      <c r="O21" s="215"/>
      <c r="P21" s="215"/>
      <c r="Q21" s="185"/>
      <c r="R21" s="185"/>
      <c r="S21" s="185"/>
      <c r="T21" s="185"/>
      <c r="U21" s="185"/>
      <c r="V21" s="185"/>
      <c r="W21" s="185"/>
      <c r="X21" s="185"/>
      <c r="Y21" s="185"/>
      <c r="Z21" s="185"/>
      <c r="AA21" s="185"/>
      <c r="AB21" s="185"/>
      <c r="AC21" s="185"/>
      <c r="AD21" s="185"/>
    </row>
    <row r="22" spans="1:33" x14ac:dyDescent="0.2">
      <c r="A22" s="121"/>
    </row>
    <row r="23" spans="1:33" x14ac:dyDescent="0.2">
      <c r="A23" s="122"/>
    </row>
    <row r="24" spans="1:33" s="123" customFormat="1" ht="16.5" thickBot="1" x14ac:dyDescent="0.25">
      <c r="A24" s="192" t="s">
        <v>252</v>
      </c>
      <c r="B24" s="192" t="s">
        <v>0</v>
      </c>
      <c r="C24" s="146"/>
      <c r="D24" s="193"/>
      <c r="E24" s="194"/>
      <c r="F24" s="194"/>
      <c r="G24" s="194"/>
      <c r="H24" s="194"/>
      <c r="I24" s="146"/>
      <c r="J24" s="146"/>
      <c r="K24" s="146"/>
      <c r="L24" s="146"/>
      <c r="M24" s="146"/>
      <c r="N24" s="146"/>
      <c r="O24" s="146"/>
      <c r="P24" s="146"/>
      <c r="Q24" s="146"/>
      <c r="R24" s="146"/>
      <c r="S24" s="146"/>
      <c r="T24" s="146"/>
      <c r="U24" s="146"/>
      <c r="V24" s="146"/>
      <c r="W24" s="146"/>
      <c r="X24" s="146"/>
      <c r="Y24" s="146"/>
      <c r="Z24" s="146"/>
      <c r="AA24" s="146"/>
      <c r="AB24" s="146"/>
      <c r="AC24" s="146"/>
      <c r="AE24" s="124"/>
      <c r="AF24" s="124"/>
      <c r="AG24" s="124"/>
    </row>
    <row r="25" spans="1:33" s="123" customFormat="1" x14ac:dyDescent="0.2">
      <c r="A25" s="145" t="s">
        <v>381</v>
      </c>
      <c r="B25" s="154">
        <f>'6.2. Паспорт фин осв ввод'!C30*1000000</f>
        <v>207704322.41</v>
      </c>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E25" s="124"/>
      <c r="AF25" s="124"/>
      <c r="AG25" s="124"/>
    </row>
    <row r="26" spans="1:33" s="123" customFormat="1" x14ac:dyDescent="0.2">
      <c r="A26" s="147" t="s">
        <v>250</v>
      </c>
      <c r="B26" s="216">
        <v>0</v>
      </c>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E26" s="124"/>
      <c r="AF26" s="124"/>
      <c r="AG26" s="124"/>
    </row>
    <row r="27" spans="1:33" s="123" customFormat="1" x14ac:dyDescent="0.2">
      <c r="A27" s="147" t="s">
        <v>248</v>
      </c>
      <c r="B27" s="216">
        <v>30</v>
      </c>
      <c r="C27" s="146"/>
      <c r="D27" s="149" t="s">
        <v>251</v>
      </c>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E27" s="124"/>
      <c r="AF27" s="124"/>
      <c r="AG27" s="124"/>
    </row>
    <row r="28" spans="1:33" s="123" customFormat="1" ht="16.5" thickBot="1" x14ac:dyDescent="0.25">
      <c r="A28" s="150" t="s">
        <v>246</v>
      </c>
      <c r="B28" s="217">
        <v>1</v>
      </c>
      <c r="C28" s="146"/>
      <c r="D28" s="495" t="s">
        <v>249</v>
      </c>
      <c r="E28" s="495"/>
      <c r="F28" s="495"/>
      <c r="G28" s="218" t="str">
        <f>IF(SUM(B90:AG90)=0,"не окупается",SUM(B90:AG90))</f>
        <v>не окупается</v>
      </c>
      <c r="H28" s="195">
        <v>5.2714261097215562</v>
      </c>
      <c r="I28" s="146"/>
      <c r="J28" s="146"/>
      <c r="K28" s="146"/>
      <c r="L28" s="146"/>
      <c r="M28" s="146"/>
      <c r="N28" s="146"/>
      <c r="O28" s="146"/>
      <c r="P28" s="146"/>
      <c r="Q28" s="146"/>
      <c r="R28" s="146"/>
      <c r="S28" s="146"/>
      <c r="T28" s="146"/>
      <c r="U28" s="146"/>
      <c r="V28" s="146"/>
      <c r="W28" s="146"/>
      <c r="X28" s="146"/>
      <c r="Y28" s="146"/>
      <c r="Z28" s="146"/>
      <c r="AA28" s="146"/>
      <c r="AB28" s="146"/>
      <c r="AC28" s="146"/>
      <c r="AE28" s="124"/>
      <c r="AF28" s="124"/>
      <c r="AG28" s="124"/>
    </row>
    <row r="29" spans="1:33" s="123" customFormat="1" x14ac:dyDescent="0.2">
      <c r="A29" s="145" t="s">
        <v>245</v>
      </c>
      <c r="B29" s="154"/>
      <c r="C29" s="146"/>
      <c r="D29" s="495" t="s">
        <v>247</v>
      </c>
      <c r="E29" s="495"/>
      <c r="F29" s="495"/>
      <c r="G29" s="218" t="str">
        <f>IF(SUM(B91:AG91)=0,"не окупается",SUM(B91:AG91))</f>
        <v>не окупается</v>
      </c>
      <c r="H29" s="195">
        <v>5.4858629313431342</v>
      </c>
      <c r="I29" s="146"/>
      <c r="J29" s="146"/>
      <c r="K29" s="146"/>
      <c r="L29" s="146"/>
      <c r="M29" s="146"/>
      <c r="N29" s="146"/>
      <c r="O29" s="146"/>
      <c r="P29" s="146"/>
      <c r="Q29" s="146"/>
      <c r="R29" s="146"/>
      <c r="S29" s="146"/>
      <c r="T29" s="146"/>
      <c r="U29" s="146"/>
      <c r="V29" s="146"/>
      <c r="W29" s="146"/>
      <c r="X29" s="146"/>
      <c r="Y29" s="146"/>
      <c r="Z29" s="146"/>
      <c r="AA29" s="146"/>
      <c r="AB29" s="146"/>
      <c r="AC29" s="146"/>
      <c r="AE29" s="124"/>
      <c r="AF29" s="124"/>
      <c r="AG29" s="124"/>
    </row>
    <row r="30" spans="1:33" s="123" customFormat="1" ht="15.75" customHeight="1" x14ac:dyDescent="0.2">
      <c r="A30" s="147" t="s">
        <v>382</v>
      </c>
      <c r="B30" s="148">
        <v>3</v>
      </c>
      <c r="C30" s="146"/>
      <c r="D30" s="495" t="s">
        <v>530</v>
      </c>
      <c r="E30" s="495"/>
      <c r="F30" s="495"/>
      <c r="G30" s="219">
        <f>O88</f>
        <v>-10603211.638748894</v>
      </c>
      <c r="H30" s="196">
        <v>3580484446.8530059</v>
      </c>
      <c r="I30" s="146"/>
      <c r="J30" s="146"/>
      <c r="K30" s="146"/>
      <c r="L30" s="146"/>
      <c r="M30" s="146"/>
      <c r="N30" s="146"/>
      <c r="O30" s="146"/>
      <c r="P30" s="146"/>
      <c r="Q30" s="146"/>
      <c r="R30" s="146"/>
      <c r="S30" s="146"/>
      <c r="T30" s="146"/>
      <c r="U30" s="146"/>
      <c r="V30" s="146"/>
      <c r="W30" s="146"/>
      <c r="X30" s="146"/>
      <c r="Y30" s="146"/>
      <c r="Z30" s="146"/>
      <c r="AA30" s="146"/>
      <c r="AB30" s="146"/>
      <c r="AC30" s="146"/>
      <c r="AE30" s="124"/>
      <c r="AF30" s="124"/>
      <c r="AG30" s="124"/>
    </row>
    <row r="31" spans="1:33" s="123" customFormat="1" x14ac:dyDescent="0.2">
      <c r="A31" s="147" t="s">
        <v>244</v>
      </c>
      <c r="B31" s="148">
        <v>3</v>
      </c>
      <c r="C31" s="146"/>
      <c r="D31" s="495"/>
      <c r="E31" s="495"/>
      <c r="F31" s="495"/>
      <c r="G31" s="151"/>
      <c r="H31" s="197" t="s">
        <v>531</v>
      </c>
      <c r="I31" s="146"/>
      <c r="J31" s="146"/>
      <c r="K31" s="146"/>
      <c r="L31" s="146"/>
      <c r="M31" s="146"/>
      <c r="N31" s="146"/>
      <c r="O31" s="146"/>
      <c r="P31" s="146"/>
      <c r="Q31" s="146"/>
      <c r="R31" s="146"/>
      <c r="S31" s="146"/>
      <c r="T31" s="146"/>
      <c r="U31" s="146"/>
      <c r="V31" s="146"/>
      <c r="W31" s="146"/>
      <c r="X31" s="146"/>
      <c r="Y31" s="146"/>
      <c r="Z31" s="146"/>
      <c r="AA31" s="146"/>
      <c r="AB31" s="146"/>
      <c r="AC31" s="146"/>
      <c r="AE31" s="124"/>
      <c r="AF31" s="124"/>
      <c r="AG31" s="124"/>
    </row>
    <row r="32" spans="1:33" s="123" customFormat="1" x14ac:dyDescent="0.2">
      <c r="A32" s="147" t="s">
        <v>223</v>
      </c>
      <c r="B32" s="148"/>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E32" s="124"/>
      <c r="AF32" s="124"/>
      <c r="AG32" s="124"/>
    </row>
    <row r="33" spans="1:33" s="123" customFormat="1" x14ac:dyDescent="0.2">
      <c r="A33" s="147" t="s">
        <v>243</v>
      </c>
      <c r="B33" s="148">
        <v>1</v>
      </c>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E33" s="124"/>
      <c r="AF33" s="124"/>
      <c r="AG33" s="124"/>
    </row>
    <row r="34" spans="1:33" s="123" customFormat="1" x14ac:dyDescent="0.2">
      <c r="A34" s="147" t="s">
        <v>242</v>
      </c>
      <c r="B34" s="148">
        <v>1</v>
      </c>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E34" s="124"/>
      <c r="AF34" s="124"/>
      <c r="AG34" s="124"/>
    </row>
    <row r="35" spans="1:33" s="123" customFormat="1" x14ac:dyDescent="0.2">
      <c r="A35" s="152" t="s">
        <v>383</v>
      </c>
      <c r="B35" s="148"/>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E35" s="124"/>
      <c r="AF35" s="124"/>
      <c r="AG35" s="124"/>
    </row>
    <row r="36" spans="1:33" s="123" customFormat="1" ht="16.5" thickBot="1" x14ac:dyDescent="0.25">
      <c r="A36" s="150" t="s">
        <v>217</v>
      </c>
      <c r="B36" s="153">
        <v>0.2</v>
      </c>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E36" s="124"/>
      <c r="AF36" s="124"/>
      <c r="AG36" s="124"/>
    </row>
    <row r="37" spans="1:33" s="123" customFormat="1" x14ac:dyDescent="0.2">
      <c r="A37" s="145" t="s">
        <v>380</v>
      </c>
      <c r="B37" s="154">
        <v>0</v>
      </c>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E37" s="124"/>
      <c r="AF37" s="124"/>
      <c r="AG37" s="124"/>
    </row>
    <row r="38" spans="1:33" s="123" customFormat="1" x14ac:dyDescent="0.2">
      <c r="A38" s="147" t="s">
        <v>241</v>
      </c>
      <c r="B38" s="148"/>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E38" s="124"/>
      <c r="AF38" s="124"/>
      <c r="AG38" s="124"/>
    </row>
    <row r="39" spans="1:33" s="123" customFormat="1" ht="16.5" thickBot="1" x14ac:dyDescent="0.25">
      <c r="A39" s="152" t="s">
        <v>240</v>
      </c>
      <c r="B39" s="155"/>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E39" s="124"/>
      <c r="AF39" s="124"/>
      <c r="AG39" s="124"/>
    </row>
    <row r="40" spans="1:33" s="123" customFormat="1" x14ac:dyDescent="0.2">
      <c r="A40" s="156" t="s">
        <v>384</v>
      </c>
      <c r="B40" s="221">
        <v>1</v>
      </c>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E40" s="124"/>
      <c r="AF40" s="124"/>
      <c r="AG40" s="124"/>
    </row>
    <row r="41" spans="1:33" s="123" customFormat="1" x14ac:dyDescent="0.2">
      <c r="A41" s="157" t="s">
        <v>239</v>
      </c>
      <c r="B41" s="222"/>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E41" s="124"/>
      <c r="AF41" s="124"/>
      <c r="AG41" s="124"/>
    </row>
    <row r="42" spans="1:33" s="123" customFormat="1" x14ac:dyDescent="0.2">
      <c r="A42" s="157" t="s">
        <v>238</v>
      </c>
      <c r="B42" s="223"/>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E42" s="124"/>
      <c r="AF42" s="124"/>
      <c r="AG42" s="124"/>
    </row>
    <row r="43" spans="1:33" s="123" customFormat="1" x14ac:dyDescent="0.2">
      <c r="A43" s="157" t="s">
        <v>237</v>
      </c>
      <c r="B43" s="223">
        <v>0</v>
      </c>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E43" s="124"/>
      <c r="AF43" s="124"/>
      <c r="AG43" s="124"/>
    </row>
    <row r="44" spans="1:33" s="123" customFormat="1" x14ac:dyDescent="0.2">
      <c r="A44" s="157" t="s">
        <v>236</v>
      </c>
      <c r="B44" s="223">
        <v>0.13</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E44" s="124"/>
      <c r="AF44" s="124"/>
      <c r="AG44" s="124"/>
    </row>
    <row r="45" spans="1:33" s="123" customFormat="1" x14ac:dyDescent="0.2">
      <c r="A45" s="157" t="s">
        <v>235</v>
      </c>
      <c r="B45" s="223">
        <v>1</v>
      </c>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E45" s="124"/>
      <c r="AF45" s="124"/>
      <c r="AG45" s="124"/>
    </row>
    <row r="46" spans="1:33" s="123" customFormat="1" ht="16.5" thickBot="1" x14ac:dyDescent="0.25">
      <c r="A46" s="158" t="s">
        <v>385</v>
      </c>
      <c r="B46" s="223">
        <f>B45*B44+B43*B42*(1-B36)</f>
        <v>0.13</v>
      </c>
      <c r="C46" s="159"/>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c r="AE46" s="124"/>
      <c r="AF46" s="124"/>
      <c r="AG46" s="124"/>
    </row>
    <row r="47" spans="1:33" s="123" customFormat="1" x14ac:dyDescent="0.2">
      <c r="A47" s="160" t="s">
        <v>234</v>
      </c>
      <c r="B47" s="161">
        <v>1</v>
      </c>
      <c r="C47" s="161">
        <v>2</v>
      </c>
      <c r="D47" s="161">
        <v>3</v>
      </c>
      <c r="E47" s="161">
        <v>4</v>
      </c>
      <c r="F47" s="161">
        <v>5</v>
      </c>
      <c r="G47" s="161">
        <v>6</v>
      </c>
      <c r="H47" s="161">
        <v>7</v>
      </c>
      <c r="I47" s="161">
        <v>8</v>
      </c>
      <c r="J47" s="161">
        <v>9</v>
      </c>
      <c r="K47" s="161">
        <v>10</v>
      </c>
      <c r="L47" s="161">
        <v>11</v>
      </c>
      <c r="M47" s="161">
        <v>12</v>
      </c>
      <c r="N47" s="161">
        <v>13</v>
      </c>
      <c r="O47" s="161">
        <v>14</v>
      </c>
      <c r="P47" s="161">
        <v>15</v>
      </c>
      <c r="Q47" s="161">
        <v>16</v>
      </c>
      <c r="R47" s="161">
        <v>17</v>
      </c>
      <c r="S47" s="161">
        <v>18</v>
      </c>
      <c r="T47" s="161">
        <v>19</v>
      </c>
      <c r="U47" s="161">
        <v>20</v>
      </c>
      <c r="V47" s="161">
        <v>21</v>
      </c>
      <c r="W47" s="161">
        <v>22</v>
      </c>
      <c r="X47" s="161">
        <v>23</v>
      </c>
      <c r="Y47" s="161">
        <v>24</v>
      </c>
      <c r="Z47" s="161">
        <v>25</v>
      </c>
      <c r="AA47" s="161">
        <v>26</v>
      </c>
      <c r="AB47" s="161">
        <v>27</v>
      </c>
      <c r="AC47" s="161">
        <v>28</v>
      </c>
      <c r="AD47" s="161">
        <v>29</v>
      </c>
      <c r="AE47" s="161">
        <v>30</v>
      </c>
      <c r="AF47" s="161">
        <v>31</v>
      </c>
      <c r="AG47" s="161">
        <v>32</v>
      </c>
    </row>
    <row r="48" spans="1:33" s="123" customFormat="1" x14ac:dyDescent="0.2">
      <c r="A48" s="162" t="s">
        <v>233</v>
      </c>
      <c r="B48" s="163">
        <v>5.0999999999999997E-2</v>
      </c>
      <c r="C48" s="163">
        <v>4.8000000000000001E-2</v>
      </c>
      <c r="D48" s="163">
        <v>4.7E-2</v>
      </c>
      <c r="E48" s="163">
        <v>4.7E-2</v>
      </c>
      <c r="F48" s="163">
        <v>4.7E-2</v>
      </c>
      <c r="G48" s="163">
        <v>4.7E-2</v>
      </c>
      <c r="H48" s="163">
        <v>4.7E-2</v>
      </c>
      <c r="I48" s="163">
        <v>4.7E-2</v>
      </c>
      <c r="J48" s="163">
        <v>4.7E-2</v>
      </c>
      <c r="K48" s="163">
        <v>4.7E-2</v>
      </c>
      <c r="L48" s="163">
        <v>4.7E-2</v>
      </c>
      <c r="M48" s="163">
        <v>4.7E-2</v>
      </c>
      <c r="N48" s="163">
        <v>4.7E-2</v>
      </c>
      <c r="O48" s="163">
        <v>4.7E-2</v>
      </c>
      <c r="P48" s="163">
        <v>4.7E-2</v>
      </c>
      <c r="Q48" s="163">
        <v>4.7E-2</v>
      </c>
      <c r="R48" s="163">
        <v>4.7E-2</v>
      </c>
      <c r="S48" s="163">
        <v>4.7E-2</v>
      </c>
      <c r="T48" s="163">
        <v>4.7E-2</v>
      </c>
      <c r="U48" s="163">
        <v>4.7E-2</v>
      </c>
      <c r="V48" s="163">
        <v>4.7E-2</v>
      </c>
      <c r="W48" s="163">
        <v>4.7E-2</v>
      </c>
      <c r="X48" s="163">
        <v>4.7E-2</v>
      </c>
      <c r="Y48" s="163">
        <v>4.7E-2</v>
      </c>
      <c r="Z48" s="163">
        <v>4.7E-2</v>
      </c>
      <c r="AA48" s="163">
        <v>4.7E-2</v>
      </c>
      <c r="AB48" s="163">
        <v>4.7E-2</v>
      </c>
      <c r="AC48" s="163">
        <v>4.7E-2</v>
      </c>
      <c r="AD48" s="163">
        <v>4.7E-2</v>
      </c>
      <c r="AE48" s="163">
        <v>4.7E-2</v>
      </c>
      <c r="AF48" s="163">
        <v>4.7E-2</v>
      </c>
      <c r="AG48" s="163">
        <v>4.7E-2</v>
      </c>
    </row>
    <row r="49" spans="1:33" s="123" customFormat="1" x14ac:dyDescent="0.2">
      <c r="A49" s="162" t="s">
        <v>232</v>
      </c>
      <c r="B49" s="220">
        <f>B48</f>
        <v>5.0999999999999997E-2</v>
      </c>
      <c r="C49" s="220">
        <f t="shared" ref="C49:D49" si="0">(1+B49)*(1+C48)-1</f>
        <v>0.10144799999999998</v>
      </c>
      <c r="D49" s="220">
        <f t="shared" si="0"/>
        <v>0.15321605599999999</v>
      </c>
      <c r="E49" s="220">
        <f>(1+D49)*(1+E48)-1</f>
        <v>0.2074172106319998</v>
      </c>
      <c r="F49" s="220">
        <f t="shared" ref="F49:AG49" si="1">(1+E49)*(1+F48)-1</f>
        <v>0.26416581953170382</v>
      </c>
      <c r="G49" s="220">
        <f t="shared" si="1"/>
        <v>0.32358161304969379</v>
      </c>
      <c r="H49" s="220">
        <f t="shared" si="1"/>
        <v>0.38578994886302942</v>
      </c>
      <c r="I49" s="220">
        <f t="shared" si="1"/>
        <v>0.45092207645959181</v>
      </c>
      <c r="J49" s="220">
        <f t="shared" si="1"/>
        <v>0.51911541405319261</v>
      </c>
      <c r="K49" s="220">
        <f t="shared" si="1"/>
        <v>0.59051383851369255</v>
      </c>
      <c r="L49" s="220">
        <f t="shared" si="1"/>
        <v>0.66526798892383598</v>
      </c>
      <c r="M49" s="220">
        <f t="shared" si="1"/>
        <v>0.74353558440325607</v>
      </c>
      <c r="N49" s="220">
        <f t="shared" si="1"/>
        <v>0.82548175687020908</v>
      </c>
      <c r="O49" s="220">
        <f t="shared" si="1"/>
        <v>0.91127939944310876</v>
      </c>
      <c r="P49" s="220">
        <f t="shared" si="1"/>
        <v>1.0011095312169349</v>
      </c>
      <c r="Q49" s="220">
        <f t="shared" si="1"/>
        <v>1.0951616791841308</v>
      </c>
      <c r="R49" s="220">
        <f t="shared" si="1"/>
        <v>1.1936342781057849</v>
      </c>
      <c r="S49" s="220">
        <f t="shared" si="1"/>
        <v>1.2967350891767566</v>
      </c>
      <c r="T49" s="220">
        <f t="shared" si="1"/>
        <v>1.4046816383680638</v>
      </c>
      <c r="U49" s="220">
        <f t="shared" si="1"/>
        <v>1.5177016753713626</v>
      </c>
      <c r="V49" s="220">
        <f t="shared" si="1"/>
        <v>1.6360336541138163</v>
      </c>
      <c r="W49" s="220">
        <f t="shared" si="1"/>
        <v>1.7599272358571656</v>
      </c>
      <c r="X49" s="220">
        <f t="shared" si="1"/>
        <v>1.8896438159424522</v>
      </c>
      <c r="Y49" s="220">
        <f t="shared" si="1"/>
        <v>2.0254570752917473</v>
      </c>
      <c r="Z49" s="220">
        <f t="shared" si="1"/>
        <v>2.1676535578304592</v>
      </c>
      <c r="AA49" s="220">
        <f t="shared" si="1"/>
        <v>2.3165332750484904</v>
      </c>
      <c r="AB49" s="220">
        <f t="shared" si="1"/>
        <v>2.4724103389757692</v>
      </c>
      <c r="AC49" s="220">
        <f t="shared" si="1"/>
        <v>2.6356136249076303</v>
      </c>
      <c r="AD49" s="220">
        <f t="shared" si="1"/>
        <v>2.8064874652782885</v>
      </c>
      <c r="AE49" s="220">
        <f t="shared" si="1"/>
        <v>2.9853923761463679</v>
      </c>
      <c r="AF49" s="220">
        <f t="shared" si="1"/>
        <v>3.1727058178252472</v>
      </c>
      <c r="AG49" s="220">
        <f t="shared" si="1"/>
        <v>3.3688229912630332</v>
      </c>
    </row>
    <row r="50" spans="1:33" s="123" customFormat="1" ht="16.5" thickBot="1" x14ac:dyDescent="0.25">
      <c r="A50" s="164" t="s">
        <v>386</v>
      </c>
      <c r="B50" s="225">
        <v>0</v>
      </c>
      <c r="C50" s="225">
        <v>0</v>
      </c>
      <c r="D50" s="225">
        <v>0</v>
      </c>
      <c r="E50" s="225">
        <v>0</v>
      </c>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row>
    <row r="51" spans="1:33" s="123" customFormat="1" ht="16.5" thickBot="1" x14ac:dyDescent="0.3">
      <c r="A51" s="165"/>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27"/>
      <c r="AE51" s="124"/>
      <c r="AF51" s="124"/>
      <c r="AG51" s="124"/>
    </row>
    <row r="52" spans="1:33" s="123" customFormat="1" x14ac:dyDescent="0.2">
      <c r="A52" s="166" t="s">
        <v>231</v>
      </c>
      <c r="B52" s="161">
        <v>1</v>
      </c>
      <c r="C52" s="161">
        <v>2</v>
      </c>
      <c r="D52" s="161">
        <v>3</v>
      </c>
      <c r="E52" s="161">
        <v>4</v>
      </c>
      <c r="F52" s="161">
        <v>5</v>
      </c>
      <c r="G52" s="161">
        <v>6</v>
      </c>
      <c r="H52" s="161">
        <v>7</v>
      </c>
      <c r="I52" s="161">
        <v>8</v>
      </c>
      <c r="J52" s="161">
        <v>9</v>
      </c>
      <c r="K52" s="161">
        <v>10</v>
      </c>
      <c r="L52" s="161">
        <v>11</v>
      </c>
      <c r="M52" s="161">
        <v>12</v>
      </c>
      <c r="N52" s="161">
        <v>13</v>
      </c>
      <c r="O52" s="161">
        <v>14</v>
      </c>
      <c r="P52" s="161">
        <v>15</v>
      </c>
      <c r="Q52" s="161">
        <v>16</v>
      </c>
      <c r="R52" s="161">
        <v>17</v>
      </c>
      <c r="S52" s="161">
        <v>18</v>
      </c>
      <c r="T52" s="161">
        <v>19</v>
      </c>
      <c r="U52" s="161">
        <v>20</v>
      </c>
      <c r="V52" s="161">
        <v>21</v>
      </c>
      <c r="W52" s="161">
        <v>22</v>
      </c>
      <c r="X52" s="161">
        <v>23</v>
      </c>
      <c r="Y52" s="161">
        <v>24</v>
      </c>
      <c r="Z52" s="161">
        <v>25</v>
      </c>
      <c r="AA52" s="161">
        <v>26</v>
      </c>
      <c r="AB52" s="161">
        <v>27</v>
      </c>
      <c r="AC52" s="161">
        <v>28</v>
      </c>
      <c r="AD52" s="161">
        <v>29</v>
      </c>
      <c r="AE52" s="161">
        <v>30</v>
      </c>
      <c r="AF52" s="161">
        <v>31</v>
      </c>
      <c r="AG52" s="161">
        <v>32</v>
      </c>
    </row>
    <row r="53" spans="1:33" s="123" customFormat="1" x14ac:dyDescent="0.2">
      <c r="A53" s="162" t="s">
        <v>230</v>
      </c>
      <c r="B53" s="224">
        <v>0</v>
      </c>
      <c r="C53" s="224">
        <v>0</v>
      </c>
      <c r="D53" s="224">
        <v>0</v>
      </c>
      <c r="E53" s="224">
        <v>0</v>
      </c>
      <c r="F53" s="224">
        <v>0</v>
      </c>
      <c r="G53" s="224">
        <v>0</v>
      </c>
      <c r="H53" s="224">
        <v>0</v>
      </c>
      <c r="I53" s="224">
        <v>0</v>
      </c>
      <c r="J53" s="224">
        <v>0</v>
      </c>
      <c r="K53" s="224">
        <v>0</v>
      </c>
      <c r="L53" s="224">
        <v>0</v>
      </c>
      <c r="M53" s="224">
        <v>0</v>
      </c>
      <c r="N53" s="224">
        <v>0</v>
      </c>
      <c r="O53" s="224">
        <v>0</v>
      </c>
      <c r="P53" s="224">
        <v>0</v>
      </c>
      <c r="Q53" s="224">
        <v>0</v>
      </c>
      <c r="R53" s="224">
        <v>0</v>
      </c>
      <c r="S53" s="224">
        <v>0</v>
      </c>
      <c r="T53" s="224">
        <v>0</v>
      </c>
      <c r="U53" s="224">
        <v>0</v>
      </c>
      <c r="V53" s="224">
        <v>0</v>
      </c>
      <c r="W53" s="224">
        <v>0</v>
      </c>
      <c r="X53" s="224">
        <v>0</v>
      </c>
      <c r="Y53" s="224">
        <v>0</v>
      </c>
      <c r="Z53" s="224">
        <v>0</v>
      </c>
      <c r="AA53" s="224">
        <v>0</v>
      </c>
      <c r="AB53" s="224">
        <v>0</v>
      </c>
      <c r="AC53" s="224">
        <v>0</v>
      </c>
      <c r="AD53" s="224">
        <v>0</v>
      </c>
      <c r="AE53" s="224">
        <v>0</v>
      </c>
      <c r="AF53" s="224">
        <v>0</v>
      </c>
      <c r="AG53" s="224">
        <v>0</v>
      </c>
    </row>
    <row r="54" spans="1:33" s="123" customFormat="1" x14ac:dyDescent="0.2">
      <c r="A54" s="162" t="s">
        <v>229</v>
      </c>
      <c r="B54" s="224">
        <v>0</v>
      </c>
      <c r="C54" s="224">
        <v>0</v>
      </c>
      <c r="D54" s="224">
        <v>0</v>
      </c>
      <c r="E54" s="224">
        <v>0</v>
      </c>
      <c r="F54" s="224">
        <v>0</v>
      </c>
      <c r="G54" s="224">
        <v>0</v>
      </c>
      <c r="H54" s="224">
        <v>0</v>
      </c>
      <c r="I54" s="224">
        <v>0</v>
      </c>
      <c r="J54" s="224">
        <v>0</v>
      </c>
      <c r="K54" s="224">
        <v>0</v>
      </c>
      <c r="L54" s="224">
        <v>0</v>
      </c>
      <c r="M54" s="224">
        <v>0</v>
      </c>
      <c r="N54" s="224">
        <v>0</v>
      </c>
      <c r="O54" s="224">
        <v>0</v>
      </c>
      <c r="P54" s="224">
        <v>0</v>
      </c>
      <c r="Q54" s="224">
        <v>0</v>
      </c>
      <c r="R54" s="224">
        <v>0</v>
      </c>
      <c r="S54" s="224">
        <v>0</v>
      </c>
      <c r="T54" s="224">
        <v>0</v>
      </c>
      <c r="U54" s="224">
        <v>0</v>
      </c>
      <c r="V54" s="224">
        <v>0</v>
      </c>
      <c r="W54" s="224">
        <v>0</v>
      </c>
      <c r="X54" s="224">
        <v>0</v>
      </c>
      <c r="Y54" s="224">
        <v>0</v>
      </c>
      <c r="Z54" s="224">
        <v>0</v>
      </c>
      <c r="AA54" s="224">
        <v>0</v>
      </c>
      <c r="AB54" s="224">
        <v>0</v>
      </c>
      <c r="AC54" s="224">
        <v>0</v>
      </c>
      <c r="AD54" s="224">
        <v>0</v>
      </c>
      <c r="AE54" s="224">
        <v>0</v>
      </c>
      <c r="AF54" s="224">
        <v>0</v>
      </c>
      <c r="AG54" s="224">
        <v>0</v>
      </c>
    </row>
    <row r="55" spans="1:33" s="123" customFormat="1" x14ac:dyDescent="0.2">
      <c r="A55" s="162" t="s">
        <v>228</v>
      </c>
      <c r="B55" s="224">
        <v>0</v>
      </c>
      <c r="C55" s="224">
        <v>0</v>
      </c>
      <c r="D55" s="224">
        <v>0</v>
      </c>
      <c r="E55" s="224">
        <v>0</v>
      </c>
      <c r="F55" s="224">
        <v>0</v>
      </c>
      <c r="G55" s="224">
        <v>0</v>
      </c>
      <c r="H55" s="224">
        <v>0</v>
      </c>
      <c r="I55" s="224">
        <v>0</v>
      </c>
      <c r="J55" s="224">
        <v>0</v>
      </c>
      <c r="K55" s="224">
        <v>0</v>
      </c>
      <c r="L55" s="224">
        <v>0</v>
      </c>
      <c r="M55" s="224">
        <v>0</v>
      </c>
      <c r="N55" s="224">
        <v>0</v>
      </c>
      <c r="O55" s="224">
        <v>0</v>
      </c>
      <c r="P55" s="224">
        <v>0</v>
      </c>
      <c r="Q55" s="224">
        <v>0</v>
      </c>
      <c r="R55" s="224">
        <v>0</v>
      </c>
      <c r="S55" s="224">
        <v>0</v>
      </c>
      <c r="T55" s="224">
        <v>0</v>
      </c>
      <c r="U55" s="224">
        <v>0</v>
      </c>
      <c r="V55" s="224">
        <v>0</v>
      </c>
      <c r="W55" s="224">
        <v>0</v>
      </c>
      <c r="X55" s="224">
        <v>0</v>
      </c>
      <c r="Y55" s="224">
        <v>0</v>
      </c>
      <c r="Z55" s="224">
        <v>0</v>
      </c>
      <c r="AA55" s="224">
        <v>0</v>
      </c>
      <c r="AB55" s="224">
        <v>0</v>
      </c>
      <c r="AC55" s="224">
        <v>0</v>
      </c>
      <c r="AD55" s="224">
        <v>0</v>
      </c>
      <c r="AE55" s="224">
        <v>0</v>
      </c>
      <c r="AF55" s="224">
        <v>0</v>
      </c>
      <c r="AG55" s="224">
        <v>0</v>
      </c>
    </row>
    <row r="56" spans="1:33" s="123" customFormat="1" ht="16.5" thickBot="1" x14ac:dyDescent="0.25">
      <c r="A56" s="164" t="s">
        <v>227</v>
      </c>
      <c r="B56" s="225">
        <v>0</v>
      </c>
      <c r="C56" s="225">
        <v>0</v>
      </c>
      <c r="D56" s="225">
        <v>0</v>
      </c>
      <c r="E56" s="225">
        <v>0</v>
      </c>
      <c r="F56" s="225">
        <v>0</v>
      </c>
      <c r="G56" s="225">
        <v>0</v>
      </c>
      <c r="H56" s="225">
        <v>0</v>
      </c>
      <c r="I56" s="225">
        <v>0</v>
      </c>
      <c r="J56" s="225">
        <v>0</v>
      </c>
      <c r="K56" s="225">
        <v>0</v>
      </c>
      <c r="L56" s="225">
        <v>0</v>
      </c>
      <c r="M56" s="225">
        <v>0</v>
      </c>
      <c r="N56" s="225">
        <v>0</v>
      </c>
      <c r="O56" s="225">
        <v>0</v>
      </c>
      <c r="P56" s="225">
        <v>0</v>
      </c>
      <c r="Q56" s="225">
        <v>0</v>
      </c>
      <c r="R56" s="225">
        <v>0</v>
      </c>
      <c r="S56" s="225">
        <v>0</v>
      </c>
      <c r="T56" s="225">
        <v>0</v>
      </c>
      <c r="U56" s="225">
        <v>0</v>
      </c>
      <c r="V56" s="225">
        <v>0</v>
      </c>
      <c r="W56" s="225">
        <v>0</v>
      </c>
      <c r="X56" s="225">
        <v>0</v>
      </c>
      <c r="Y56" s="225">
        <v>0</v>
      </c>
      <c r="Z56" s="225">
        <v>0</v>
      </c>
      <c r="AA56" s="225">
        <v>0</v>
      </c>
      <c r="AB56" s="225">
        <v>0</v>
      </c>
      <c r="AC56" s="225">
        <v>0</v>
      </c>
      <c r="AD56" s="225">
        <v>0</v>
      </c>
      <c r="AE56" s="225">
        <v>0</v>
      </c>
      <c r="AF56" s="225">
        <v>0</v>
      </c>
      <c r="AG56" s="225">
        <v>0</v>
      </c>
    </row>
    <row r="57" spans="1:33" s="123" customFormat="1" ht="16.5" thickBot="1" x14ac:dyDescent="0.3">
      <c r="A57" s="165"/>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27"/>
      <c r="AE57" s="124"/>
      <c r="AF57" s="124"/>
      <c r="AG57" s="124"/>
    </row>
    <row r="58" spans="1:33" s="123" customFormat="1" x14ac:dyDescent="0.2">
      <c r="A58" s="166" t="s">
        <v>387</v>
      </c>
      <c r="B58" s="161">
        <v>1</v>
      </c>
      <c r="C58" s="161">
        <v>2</v>
      </c>
      <c r="D58" s="161">
        <v>3</v>
      </c>
      <c r="E58" s="161">
        <v>4</v>
      </c>
      <c r="F58" s="161">
        <v>5</v>
      </c>
      <c r="G58" s="161">
        <v>6</v>
      </c>
      <c r="H58" s="161">
        <v>7</v>
      </c>
      <c r="I58" s="161">
        <v>8</v>
      </c>
      <c r="J58" s="161">
        <v>9</v>
      </c>
      <c r="K58" s="161">
        <v>10</v>
      </c>
      <c r="L58" s="161">
        <v>11</v>
      </c>
      <c r="M58" s="161">
        <v>12</v>
      </c>
      <c r="N58" s="161">
        <v>13</v>
      </c>
      <c r="O58" s="161">
        <v>14</v>
      </c>
      <c r="P58" s="161">
        <v>15</v>
      </c>
      <c r="Q58" s="161">
        <v>16</v>
      </c>
      <c r="R58" s="161">
        <v>17</v>
      </c>
      <c r="S58" s="161">
        <v>18</v>
      </c>
      <c r="T58" s="161">
        <v>19</v>
      </c>
      <c r="U58" s="161">
        <v>20</v>
      </c>
      <c r="V58" s="161">
        <v>21</v>
      </c>
      <c r="W58" s="161">
        <v>22</v>
      </c>
      <c r="X58" s="161">
        <v>23</v>
      </c>
      <c r="Y58" s="161">
        <v>24</v>
      </c>
      <c r="Z58" s="161">
        <v>25</v>
      </c>
      <c r="AA58" s="161">
        <v>26</v>
      </c>
      <c r="AB58" s="161">
        <v>27</v>
      </c>
      <c r="AC58" s="161">
        <v>28</v>
      </c>
      <c r="AD58" s="161">
        <v>29</v>
      </c>
      <c r="AE58" s="161">
        <v>30</v>
      </c>
      <c r="AF58" s="161">
        <v>31</v>
      </c>
      <c r="AG58" s="161">
        <v>32</v>
      </c>
    </row>
    <row r="59" spans="1:33" s="123" customFormat="1" ht="14.25" x14ac:dyDescent="0.2">
      <c r="A59" s="169" t="s">
        <v>226</v>
      </c>
      <c r="B59" s="234">
        <f>B50*$B$28</f>
        <v>0</v>
      </c>
      <c r="C59" s="234">
        <f t="shared" ref="C59:AG59" si="2">C50*$B$28</f>
        <v>0</v>
      </c>
      <c r="D59" s="234">
        <f t="shared" si="2"/>
        <v>0</v>
      </c>
      <c r="E59" s="234">
        <f t="shared" si="2"/>
        <v>0</v>
      </c>
      <c r="F59" s="226">
        <f t="shared" si="2"/>
        <v>0</v>
      </c>
      <c r="G59" s="226">
        <f t="shared" si="2"/>
        <v>0</v>
      </c>
      <c r="H59" s="226">
        <f t="shared" si="2"/>
        <v>0</v>
      </c>
      <c r="I59" s="226">
        <f t="shared" si="2"/>
        <v>0</v>
      </c>
      <c r="J59" s="226">
        <f t="shared" si="2"/>
        <v>0</v>
      </c>
      <c r="K59" s="226">
        <f t="shared" si="2"/>
        <v>0</v>
      </c>
      <c r="L59" s="226">
        <f t="shared" si="2"/>
        <v>0</v>
      </c>
      <c r="M59" s="226">
        <f t="shared" si="2"/>
        <v>0</v>
      </c>
      <c r="N59" s="226">
        <f t="shared" si="2"/>
        <v>0</v>
      </c>
      <c r="O59" s="226">
        <f t="shared" si="2"/>
        <v>0</v>
      </c>
      <c r="P59" s="226">
        <f t="shared" si="2"/>
        <v>0</v>
      </c>
      <c r="Q59" s="226">
        <f t="shared" si="2"/>
        <v>0</v>
      </c>
      <c r="R59" s="226">
        <f t="shared" si="2"/>
        <v>0</v>
      </c>
      <c r="S59" s="226">
        <f t="shared" si="2"/>
        <v>0</v>
      </c>
      <c r="T59" s="226">
        <f t="shared" si="2"/>
        <v>0</v>
      </c>
      <c r="U59" s="226">
        <f t="shared" si="2"/>
        <v>0</v>
      </c>
      <c r="V59" s="226">
        <f t="shared" si="2"/>
        <v>0</v>
      </c>
      <c r="W59" s="226">
        <f t="shared" si="2"/>
        <v>0</v>
      </c>
      <c r="X59" s="226">
        <f t="shared" si="2"/>
        <v>0</v>
      </c>
      <c r="Y59" s="226">
        <f t="shared" si="2"/>
        <v>0</v>
      </c>
      <c r="Z59" s="226">
        <f t="shared" si="2"/>
        <v>0</v>
      </c>
      <c r="AA59" s="226">
        <f t="shared" si="2"/>
        <v>0</v>
      </c>
      <c r="AB59" s="226">
        <f t="shared" si="2"/>
        <v>0</v>
      </c>
      <c r="AC59" s="226">
        <f t="shared" si="2"/>
        <v>0</v>
      </c>
      <c r="AD59" s="226">
        <f t="shared" si="2"/>
        <v>0</v>
      </c>
      <c r="AE59" s="226">
        <f t="shared" si="2"/>
        <v>0</v>
      </c>
      <c r="AF59" s="226">
        <f t="shared" si="2"/>
        <v>0</v>
      </c>
      <c r="AG59" s="226">
        <f t="shared" si="2"/>
        <v>0</v>
      </c>
    </row>
    <row r="60" spans="1:33" s="123" customFormat="1" x14ac:dyDescent="0.2">
      <c r="A60" s="162" t="s">
        <v>225</v>
      </c>
      <c r="B60" s="227">
        <f>SUM(B61:B66)</f>
        <v>0</v>
      </c>
      <c r="C60" s="227">
        <f t="shared" ref="C60:AG60" si="3">SUM(C61:C66)</f>
        <v>0</v>
      </c>
      <c r="D60" s="227">
        <f t="shared" si="3"/>
        <v>0</v>
      </c>
      <c r="E60" s="227">
        <f t="shared" si="3"/>
        <v>0</v>
      </c>
      <c r="F60" s="227">
        <f t="shared" si="3"/>
        <v>0</v>
      </c>
      <c r="G60" s="227">
        <f t="shared" si="3"/>
        <v>0</v>
      </c>
      <c r="H60" s="227">
        <f t="shared" si="3"/>
        <v>0</v>
      </c>
      <c r="I60" s="227">
        <f t="shared" si="3"/>
        <v>0</v>
      </c>
      <c r="J60" s="227">
        <f t="shared" si="3"/>
        <v>0</v>
      </c>
      <c r="K60" s="227">
        <f t="shared" si="3"/>
        <v>0</v>
      </c>
      <c r="L60" s="227">
        <f t="shared" si="3"/>
        <v>0</v>
      </c>
      <c r="M60" s="227">
        <f t="shared" si="3"/>
        <v>0</v>
      </c>
      <c r="N60" s="227">
        <f t="shared" si="3"/>
        <v>0</v>
      </c>
      <c r="O60" s="227">
        <f t="shared" si="3"/>
        <v>0</v>
      </c>
      <c r="P60" s="227">
        <f t="shared" si="3"/>
        <v>0</v>
      </c>
      <c r="Q60" s="227">
        <f t="shared" si="3"/>
        <v>0</v>
      </c>
      <c r="R60" s="227">
        <f t="shared" si="3"/>
        <v>0</v>
      </c>
      <c r="S60" s="227">
        <f t="shared" si="3"/>
        <v>0</v>
      </c>
      <c r="T60" s="227">
        <f t="shared" si="3"/>
        <v>0</v>
      </c>
      <c r="U60" s="227">
        <f t="shared" si="3"/>
        <v>0</v>
      </c>
      <c r="V60" s="227">
        <f t="shared" si="3"/>
        <v>0</v>
      </c>
      <c r="W60" s="227">
        <f t="shared" si="3"/>
        <v>0</v>
      </c>
      <c r="X60" s="227">
        <f t="shared" si="3"/>
        <v>0</v>
      </c>
      <c r="Y60" s="227">
        <f t="shared" si="3"/>
        <v>0</v>
      </c>
      <c r="Z60" s="227">
        <f t="shared" si="3"/>
        <v>0</v>
      </c>
      <c r="AA60" s="227">
        <f t="shared" si="3"/>
        <v>0</v>
      </c>
      <c r="AB60" s="227">
        <f t="shared" si="3"/>
        <v>0</v>
      </c>
      <c r="AC60" s="227">
        <f t="shared" si="3"/>
        <v>0</v>
      </c>
      <c r="AD60" s="227">
        <f t="shared" si="3"/>
        <v>0</v>
      </c>
      <c r="AE60" s="227">
        <f t="shared" si="3"/>
        <v>0</v>
      </c>
      <c r="AF60" s="227">
        <f t="shared" si="3"/>
        <v>0</v>
      </c>
      <c r="AG60" s="227">
        <f t="shared" si="3"/>
        <v>0</v>
      </c>
    </row>
    <row r="61" spans="1:33" s="123" customFormat="1" x14ac:dyDescent="0.25">
      <c r="A61" s="170" t="s">
        <v>224</v>
      </c>
      <c r="B61" s="228"/>
      <c r="C61" s="228"/>
      <c r="D61" s="228"/>
      <c r="E61" s="229">
        <v>0</v>
      </c>
      <c r="F61" s="229">
        <v>0</v>
      </c>
      <c r="G61" s="229">
        <v>0</v>
      </c>
      <c r="H61" s="229">
        <f t="shared" ref="H61:AF61" si="4">-IF(H$47&lt;=$B$30,0,$B$29*(1+H$49)*$B$28)</f>
        <v>0</v>
      </c>
      <c r="I61" s="229">
        <v>0</v>
      </c>
      <c r="J61" s="229">
        <v>0</v>
      </c>
      <c r="K61" s="229">
        <f t="shared" si="4"/>
        <v>0</v>
      </c>
      <c r="L61" s="229">
        <v>0</v>
      </c>
      <c r="M61" s="229">
        <v>0</v>
      </c>
      <c r="N61" s="229">
        <f t="shared" si="4"/>
        <v>0</v>
      </c>
      <c r="O61" s="229">
        <v>0</v>
      </c>
      <c r="P61" s="229">
        <v>0</v>
      </c>
      <c r="Q61" s="229">
        <f t="shared" si="4"/>
        <v>0</v>
      </c>
      <c r="R61" s="229">
        <v>0</v>
      </c>
      <c r="S61" s="229">
        <v>0</v>
      </c>
      <c r="T61" s="229">
        <f t="shared" si="4"/>
        <v>0</v>
      </c>
      <c r="U61" s="229">
        <v>0</v>
      </c>
      <c r="V61" s="229">
        <v>0</v>
      </c>
      <c r="W61" s="229">
        <f t="shared" si="4"/>
        <v>0</v>
      </c>
      <c r="X61" s="229">
        <v>0</v>
      </c>
      <c r="Y61" s="229">
        <v>0</v>
      </c>
      <c r="Z61" s="229">
        <f t="shared" si="4"/>
        <v>0</v>
      </c>
      <c r="AA61" s="229">
        <v>0</v>
      </c>
      <c r="AB61" s="229">
        <v>0</v>
      </c>
      <c r="AC61" s="229">
        <f t="shared" si="4"/>
        <v>0</v>
      </c>
      <c r="AD61" s="229">
        <v>0</v>
      </c>
      <c r="AE61" s="229">
        <v>0</v>
      </c>
      <c r="AF61" s="229">
        <f t="shared" si="4"/>
        <v>0</v>
      </c>
      <c r="AG61" s="229">
        <v>0</v>
      </c>
    </row>
    <row r="62" spans="1:33" s="123" customFormat="1" x14ac:dyDescent="0.2">
      <c r="A62" s="170" t="s">
        <v>223</v>
      </c>
      <c r="B62" s="228"/>
      <c r="C62" s="228"/>
      <c r="D62" s="228"/>
      <c r="E62" s="227"/>
      <c r="F62" s="227">
        <f t="shared" ref="F62:AG62" si="5">-IF(F$47&lt;=$B$33,0,$B$32*(1+F$49)*$B$28)</f>
        <v>0</v>
      </c>
      <c r="G62" s="227">
        <f t="shared" si="5"/>
        <v>0</v>
      </c>
      <c r="H62" s="227">
        <f t="shared" si="5"/>
        <v>0</v>
      </c>
      <c r="I62" s="227">
        <f t="shared" si="5"/>
        <v>0</v>
      </c>
      <c r="J62" s="227">
        <f t="shared" si="5"/>
        <v>0</v>
      </c>
      <c r="K62" s="227">
        <f t="shared" si="5"/>
        <v>0</v>
      </c>
      <c r="L62" s="227">
        <f t="shared" si="5"/>
        <v>0</v>
      </c>
      <c r="M62" s="227">
        <f t="shared" si="5"/>
        <v>0</v>
      </c>
      <c r="N62" s="227">
        <f t="shared" si="5"/>
        <v>0</v>
      </c>
      <c r="O62" s="227">
        <f t="shared" si="5"/>
        <v>0</v>
      </c>
      <c r="P62" s="227">
        <f t="shared" si="5"/>
        <v>0</v>
      </c>
      <c r="Q62" s="227">
        <f t="shared" si="5"/>
        <v>0</v>
      </c>
      <c r="R62" s="227">
        <f t="shared" si="5"/>
        <v>0</v>
      </c>
      <c r="S62" s="227">
        <f t="shared" si="5"/>
        <v>0</v>
      </c>
      <c r="T62" s="227">
        <f t="shared" si="5"/>
        <v>0</v>
      </c>
      <c r="U62" s="227">
        <f t="shared" si="5"/>
        <v>0</v>
      </c>
      <c r="V62" s="227">
        <f t="shared" si="5"/>
        <v>0</v>
      </c>
      <c r="W62" s="227">
        <f t="shared" si="5"/>
        <v>0</v>
      </c>
      <c r="X62" s="227">
        <f t="shared" si="5"/>
        <v>0</v>
      </c>
      <c r="Y62" s="227">
        <f t="shared" si="5"/>
        <v>0</v>
      </c>
      <c r="Z62" s="227">
        <f t="shared" si="5"/>
        <v>0</v>
      </c>
      <c r="AA62" s="227">
        <f t="shared" si="5"/>
        <v>0</v>
      </c>
      <c r="AB62" s="227">
        <f t="shared" si="5"/>
        <v>0</v>
      </c>
      <c r="AC62" s="227">
        <f t="shared" si="5"/>
        <v>0</v>
      </c>
      <c r="AD62" s="227">
        <f t="shared" si="5"/>
        <v>0</v>
      </c>
      <c r="AE62" s="227">
        <f t="shared" si="5"/>
        <v>0</v>
      </c>
      <c r="AF62" s="227">
        <f t="shared" si="5"/>
        <v>0</v>
      </c>
      <c r="AG62" s="227">
        <f t="shared" si="5"/>
        <v>0</v>
      </c>
    </row>
    <row r="63" spans="1:33" s="123" customFormat="1" x14ac:dyDescent="0.25">
      <c r="A63" s="170" t="s">
        <v>383</v>
      </c>
      <c r="B63" s="228"/>
      <c r="C63" s="228"/>
      <c r="D63" s="228"/>
      <c r="E63" s="229">
        <v>0</v>
      </c>
      <c r="F63" s="229">
        <v>0</v>
      </c>
      <c r="G63" s="229">
        <v>0</v>
      </c>
      <c r="H63" s="229">
        <v>0</v>
      </c>
      <c r="I63" s="229">
        <v>0</v>
      </c>
      <c r="J63" s="229">
        <v>0</v>
      </c>
      <c r="K63" s="229">
        <v>0</v>
      </c>
      <c r="L63" s="227">
        <f>-IF(L$47&lt;=$B$30,0,$B$35*(1+L$48)*$B$28)</f>
        <v>0</v>
      </c>
      <c r="M63" s="229">
        <v>0</v>
      </c>
      <c r="N63" s="229">
        <v>0</v>
      </c>
      <c r="O63" s="229">
        <v>0</v>
      </c>
      <c r="P63" s="229">
        <v>0</v>
      </c>
      <c r="Q63" s="229">
        <v>0</v>
      </c>
      <c r="R63" s="229">
        <v>0</v>
      </c>
      <c r="S63" s="229">
        <v>0</v>
      </c>
      <c r="T63" s="227">
        <f t="shared" ref="T63" si="6">-IF(T$47&lt;=$B$30,0,$B$35*(1+T$48)*$B$28)</f>
        <v>0</v>
      </c>
      <c r="U63" s="229">
        <v>0</v>
      </c>
      <c r="V63" s="229">
        <v>0</v>
      </c>
      <c r="W63" s="229">
        <v>0</v>
      </c>
      <c r="X63" s="229">
        <v>0</v>
      </c>
      <c r="Y63" s="229">
        <v>0</v>
      </c>
      <c r="Z63" s="229">
        <v>0</v>
      </c>
      <c r="AA63" s="229">
        <v>0</v>
      </c>
      <c r="AB63" s="227">
        <f t="shared" ref="AB63" si="7">-IF(AB$47&lt;=$B$30,0,$B$35*(1+AB$48)*$B$28)</f>
        <v>0</v>
      </c>
      <c r="AC63" s="229">
        <v>0</v>
      </c>
      <c r="AD63" s="229">
        <v>0</v>
      </c>
      <c r="AE63" s="229">
        <v>0</v>
      </c>
      <c r="AF63" s="229">
        <v>0</v>
      </c>
      <c r="AG63" s="229">
        <v>0</v>
      </c>
    </row>
    <row r="64" spans="1:33" s="123" customFormat="1" x14ac:dyDescent="0.2">
      <c r="A64" s="170" t="s">
        <v>380</v>
      </c>
      <c r="B64" s="230">
        <v>0</v>
      </c>
      <c r="C64" s="230">
        <v>0</v>
      </c>
      <c r="D64" s="230">
        <v>0</v>
      </c>
      <c r="E64" s="230">
        <v>0</v>
      </c>
      <c r="F64" s="230">
        <v>0</v>
      </c>
      <c r="G64" s="230">
        <v>0</v>
      </c>
      <c r="H64" s="230">
        <v>0</v>
      </c>
      <c r="I64" s="230">
        <v>0</v>
      </c>
      <c r="J64" s="230">
        <v>0</v>
      </c>
      <c r="K64" s="230">
        <v>0</v>
      </c>
      <c r="L64" s="230">
        <v>0</v>
      </c>
      <c r="M64" s="230">
        <v>0</v>
      </c>
      <c r="N64" s="230">
        <v>0</v>
      </c>
      <c r="O64" s="230">
        <v>0</v>
      </c>
      <c r="P64" s="230">
        <v>0</v>
      </c>
      <c r="Q64" s="230">
        <v>0</v>
      </c>
      <c r="R64" s="230">
        <v>0</v>
      </c>
      <c r="S64" s="230">
        <v>0</v>
      </c>
      <c r="T64" s="230">
        <v>0</v>
      </c>
      <c r="U64" s="230">
        <v>0</v>
      </c>
      <c r="V64" s="230">
        <v>0</v>
      </c>
      <c r="W64" s="230">
        <v>0</v>
      </c>
      <c r="X64" s="230">
        <v>0</v>
      </c>
      <c r="Y64" s="230">
        <v>0</v>
      </c>
      <c r="Z64" s="230">
        <v>0</v>
      </c>
      <c r="AA64" s="230">
        <v>0</v>
      </c>
      <c r="AB64" s="230">
        <v>0</v>
      </c>
      <c r="AC64" s="231">
        <v>0</v>
      </c>
      <c r="AD64" s="231">
        <v>0</v>
      </c>
      <c r="AE64" s="231">
        <v>0</v>
      </c>
      <c r="AF64" s="231">
        <v>0</v>
      </c>
      <c r="AG64" s="231">
        <v>0</v>
      </c>
    </row>
    <row r="65" spans="1:33" s="123" customFormat="1" x14ac:dyDescent="0.2">
      <c r="A65" s="170" t="s">
        <v>380</v>
      </c>
      <c r="B65" s="230">
        <v>0</v>
      </c>
      <c r="C65" s="230">
        <v>0</v>
      </c>
      <c r="D65" s="230">
        <v>0</v>
      </c>
      <c r="E65" s="230">
        <v>0</v>
      </c>
      <c r="F65" s="230">
        <v>0</v>
      </c>
      <c r="G65" s="230">
        <v>0</v>
      </c>
      <c r="H65" s="230">
        <v>0</v>
      </c>
      <c r="I65" s="230">
        <v>0</v>
      </c>
      <c r="J65" s="230">
        <v>0</v>
      </c>
      <c r="K65" s="230">
        <v>0</v>
      </c>
      <c r="L65" s="230">
        <v>0</v>
      </c>
      <c r="M65" s="230">
        <v>0</v>
      </c>
      <c r="N65" s="230">
        <v>0</v>
      </c>
      <c r="O65" s="230">
        <v>0</v>
      </c>
      <c r="P65" s="230">
        <v>0</v>
      </c>
      <c r="Q65" s="230">
        <v>0</v>
      </c>
      <c r="R65" s="230">
        <v>0</v>
      </c>
      <c r="S65" s="230">
        <v>0</v>
      </c>
      <c r="T65" s="230">
        <v>0</v>
      </c>
      <c r="U65" s="230">
        <v>0</v>
      </c>
      <c r="V65" s="230">
        <v>0</v>
      </c>
      <c r="W65" s="230">
        <v>0</v>
      </c>
      <c r="X65" s="230">
        <v>0</v>
      </c>
      <c r="Y65" s="230">
        <v>0</v>
      </c>
      <c r="Z65" s="230">
        <v>0</v>
      </c>
      <c r="AA65" s="230">
        <v>0</v>
      </c>
      <c r="AB65" s="230">
        <v>0</v>
      </c>
      <c r="AC65" s="231">
        <v>0</v>
      </c>
      <c r="AD65" s="231">
        <v>0</v>
      </c>
      <c r="AE65" s="231">
        <v>0</v>
      </c>
      <c r="AF65" s="231">
        <v>0</v>
      </c>
      <c r="AG65" s="231">
        <v>0</v>
      </c>
    </row>
    <row r="66" spans="1:33" s="123" customFormat="1" x14ac:dyDescent="0.2">
      <c r="A66" s="170" t="s">
        <v>388</v>
      </c>
      <c r="B66" s="230">
        <v>0</v>
      </c>
      <c r="C66" s="230">
        <v>0</v>
      </c>
      <c r="D66" s="230">
        <v>0</v>
      </c>
      <c r="E66" s="230">
        <v>0</v>
      </c>
      <c r="F66" s="230">
        <v>0</v>
      </c>
      <c r="G66" s="230">
        <v>0</v>
      </c>
      <c r="H66" s="230">
        <v>0</v>
      </c>
      <c r="I66" s="230">
        <v>0</v>
      </c>
      <c r="J66" s="230">
        <v>0</v>
      </c>
      <c r="K66" s="230">
        <v>0</v>
      </c>
      <c r="L66" s="230">
        <v>0</v>
      </c>
      <c r="M66" s="230">
        <v>0</v>
      </c>
      <c r="N66" s="230">
        <v>0</v>
      </c>
      <c r="O66" s="230">
        <v>0</v>
      </c>
      <c r="P66" s="230">
        <v>0</v>
      </c>
      <c r="Q66" s="230">
        <v>0</v>
      </c>
      <c r="R66" s="230">
        <v>0</v>
      </c>
      <c r="S66" s="230">
        <v>0</v>
      </c>
      <c r="T66" s="230">
        <v>0</v>
      </c>
      <c r="U66" s="230">
        <v>0</v>
      </c>
      <c r="V66" s="230">
        <v>0</v>
      </c>
      <c r="W66" s="230">
        <v>0</v>
      </c>
      <c r="X66" s="230">
        <v>0</v>
      </c>
      <c r="Y66" s="230">
        <v>0</v>
      </c>
      <c r="Z66" s="230">
        <v>0</v>
      </c>
      <c r="AA66" s="230">
        <v>0</v>
      </c>
      <c r="AB66" s="230">
        <v>0</v>
      </c>
      <c r="AC66" s="231">
        <v>0</v>
      </c>
      <c r="AD66" s="231">
        <v>0</v>
      </c>
      <c r="AE66" s="231">
        <v>0</v>
      </c>
      <c r="AF66" s="231">
        <v>0</v>
      </c>
      <c r="AG66" s="231">
        <v>0</v>
      </c>
    </row>
    <row r="67" spans="1:33" s="123" customFormat="1" ht="14.25" x14ac:dyDescent="0.2">
      <c r="A67" s="171" t="s">
        <v>389</v>
      </c>
      <c r="B67" s="232">
        <f>B59+B60</f>
        <v>0</v>
      </c>
      <c r="C67" s="232">
        <f t="shared" ref="C67:AG67" si="8">C59+C60</f>
        <v>0</v>
      </c>
      <c r="D67" s="232">
        <f t="shared" si="8"/>
        <v>0</v>
      </c>
      <c r="E67" s="232">
        <f t="shared" si="8"/>
        <v>0</v>
      </c>
      <c r="F67" s="232">
        <f t="shared" si="8"/>
        <v>0</v>
      </c>
      <c r="G67" s="232">
        <f t="shared" si="8"/>
        <v>0</v>
      </c>
      <c r="H67" s="232">
        <f t="shared" si="8"/>
        <v>0</v>
      </c>
      <c r="I67" s="232">
        <f t="shared" si="8"/>
        <v>0</v>
      </c>
      <c r="J67" s="232">
        <f t="shared" si="8"/>
        <v>0</v>
      </c>
      <c r="K67" s="232">
        <f t="shared" si="8"/>
        <v>0</v>
      </c>
      <c r="L67" s="232">
        <f t="shared" si="8"/>
        <v>0</v>
      </c>
      <c r="M67" s="232">
        <f t="shared" si="8"/>
        <v>0</v>
      </c>
      <c r="N67" s="232">
        <f t="shared" si="8"/>
        <v>0</v>
      </c>
      <c r="O67" s="232">
        <f t="shared" si="8"/>
        <v>0</v>
      </c>
      <c r="P67" s="232">
        <f t="shared" si="8"/>
        <v>0</v>
      </c>
      <c r="Q67" s="232">
        <f t="shared" si="8"/>
        <v>0</v>
      </c>
      <c r="R67" s="232">
        <f t="shared" si="8"/>
        <v>0</v>
      </c>
      <c r="S67" s="232">
        <f t="shared" si="8"/>
        <v>0</v>
      </c>
      <c r="T67" s="232">
        <f t="shared" si="8"/>
        <v>0</v>
      </c>
      <c r="U67" s="232">
        <f t="shared" si="8"/>
        <v>0</v>
      </c>
      <c r="V67" s="232">
        <f t="shared" si="8"/>
        <v>0</v>
      </c>
      <c r="W67" s="232">
        <f t="shared" si="8"/>
        <v>0</v>
      </c>
      <c r="X67" s="232">
        <f t="shared" si="8"/>
        <v>0</v>
      </c>
      <c r="Y67" s="232">
        <f t="shared" si="8"/>
        <v>0</v>
      </c>
      <c r="Z67" s="232">
        <f t="shared" si="8"/>
        <v>0</v>
      </c>
      <c r="AA67" s="232">
        <f t="shared" si="8"/>
        <v>0</v>
      </c>
      <c r="AB67" s="232">
        <f t="shared" si="8"/>
        <v>0</v>
      </c>
      <c r="AC67" s="232">
        <f t="shared" si="8"/>
        <v>0</v>
      </c>
      <c r="AD67" s="232">
        <f t="shared" si="8"/>
        <v>0</v>
      </c>
      <c r="AE67" s="232">
        <f t="shared" si="8"/>
        <v>0</v>
      </c>
      <c r="AF67" s="232">
        <f t="shared" si="8"/>
        <v>0</v>
      </c>
      <c r="AG67" s="232">
        <f t="shared" si="8"/>
        <v>0</v>
      </c>
    </row>
    <row r="68" spans="1:33" s="123" customFormat="1" x14ac:dyDescent="0.25">
      <c r="A68" s="170" t="s">
        <v>219</v>
      </c>
      <c r="B68" s="146"/>
      <c r="C68" s="228"/>
      <c r="D68" s="229">
        <f>-(B25)*1.2*$B$28/$B$27</f>
        <v>-8308172.8964</v>
      </c>
      <c r="E68" s="229">
        <f>D68</f>
        <v>-8308172.8964</v>
      </c>
      <c r="F68" s="229">
        <f t="shared" ref="F68:AG68" si="9">E68</f>
        <v>-8308172.8964</v>
      </c>
      <c r="G68" s="229">
        <f t="shared" si="9"/>
        <v>-8308172.8964</v>
      </c>
      <c r="H68" s="229">
        <f t="shared" si="9"/>
        <v>-8308172.8964</v>
      </c>
      <c r="I68" s="229">
        <f t="shared" si="9"/>
        <v>-8308172.8964</v>
      </c>
      <c r="J68" s="229">
        <f t="shared" si="9"/>
        <v>-8308172.8964</v>
      </c>
      <c r="K68" s="229">
        <f t="shared" si="9"/>
        <v>-8308172.8964</v>
      </c>
      <c r="L68" s="229">
        <f t="shared" si="9"/>
        <v>-8308172.8964</v>
      </c>
      <c r="M68" s="229">
        <f t="shared" si="9"/>
        <v>-8308172.8964</v>
      </c>
      <c r="N68" s="229">
        <f t="shared" si="9"/>
        <v>-8308172.8964</v>
      </c>
      <c r="O68" s="229">
        <f t="shared" si="9"/>
        <v>-8308172.8964</v>
      </c>
      <c r="P68" s="229">
        <f t="shared" si="9"/>
        <v>-8308172.8964</v>
      </c>
      <c r="Q68" s="229">
        <f t="shared" si="9"/>
        <v>-8308172.8964</v>
      </c>
      <c r="R68" s="229">
        <f t="shared" si="9"/>
        <v>-8308172.8964</v>
      </c>
      <c r="S68" s="229">
        <f t="shared" si="9"/>
        <v>-8308172.8964</v>
      </c>
      <c r="T68" s="229">
        <f t="shared" si="9"/>
        <v>-8308172.8964</v>
      </c>
      <c r="U68" s="229">
        <f t="shared" si="9"/>
        <v>-8308172.8964</v>
      </c>
      <c r="V68" s="229">
        <f t="shared" si="9"/>
        <v>-8308172.8964</v>
      </c>
      <c r="W68" s="229">
        <f t="shared" si="9"/>
        <v>-8308172.8964</v>
      </c>
      <c r="X68" s="229">
        <f t="shared" si="9"/>
        <v>-8308172.8964</v>
      </c>
      <c r="Y68" s="229">
        <f t="shared" si="9"/>
        <v>-8308172.8964</v>
      </c>
      <c r="Z68" s="229">
        <f t="shared" si="9"/>
        <v>-8308172.8964</v>
      </c>
      <c r="AA68" s="229">
        <f t="shared" si="9"/>
        <v>-8308172.8964</v>
      </c>
      <c r="AB68" s="229">
        <f t="shared" si="9"/>
        <v>-8308172.8964</v>
      </c>
      <c r="AC68" s="229">
        <f t="shared" si="9"/>
        <v>-8308172.8964</v>
      </c>
      <c r="AD68" s="229">
        <f t="shared" si="9"/>
        <v>-8308172.8964</v>
      </c>
      <c r="AE68" s="229">
        <f t="shared" si="9"/>
        <v>-8308172.8964</v>
      </c>
      <c r="AF68" s="229">
        <f t="shared" si="9"/>
        <v>-8308172.8964</v>
      </c>
      <c r="AG68" s="229">
        <f t="shared" si="9"/>
        <v>-8308172.8964</v>
      </c>
    </row>
    <row r="69" spans="1:33" s="123" customFormat="1" ht="14.25" x14ac:dyDescent="0.2">
      <c r="A69" s="171" t="s">
        <v>390</v>
      </c>
      <c r="B69" s="232">
        <f>B67+B68</f>
        <v>0</v>
      </c>
      <c r="C69" s="232">
        <f t="shared" ref="C69:AG69" si="10">C67+C68</f>
        <v>0</v>
      </c>
      <c r="D69" s="232">
        <f t="shared" si="10"/>
        <v>-8308172.8964</v>
      </c>
      <c r="E69" s="232">
        <f t="shared" si="10"/>
        <v>-8308172.8964</v>
      </c>
      <c r="F69" s="232">
        <f t="shared" si="10"/>
        <v>-8308172.8964</v>
      </c>
      <c r="G69" s="232">
        <f t="shared" si="10"/>
        <v>-8308172.8964</v>
      </c>
      <c r="H69" s="232">
        <f t="shared" si="10"/>
        <v>-8308172.8964</v>
      </c>
      <c r="I69" s="232">
        <f t="shared" si="10"/>
        <v>-8308172.8964</v>
      </c>
      <c r="J69" s="232">
        <f t="shared" si="10"/>
        <v>-8308172.8964</v>
      </c>
      <c r="K69" s="232">
        <f t="shared" si="10"/>
        <v>-8308172.8964</v>
      </c>
      <c r="L69" s="232">
        <f t="shared" si="10"/>
        <v>-8308172.8964</v>
      </c>
      <c r="M69" s="232">
        <f t="shared" si="10"/>
        <v>-8308172.8964</v>
      </c>
      <c r="N69" s="232">
        <f t="shared" si="10"/>
        <v>-8308172.8964</v>
      </c>
      <c r="O69" s="232">
        <f t="shared" si="10"/>
        <v>-8308172.8964</v>
      </c>
      <c r="P69" s="232">
        <f t="shared" si="10"/>
        <v>-8308172.8964</v>
      </c>
      <c r="Q69" s="232">
        <f t="shared" si="10"/>
        <v>-8308172.8964</v>
      </c>
      <c r="R69" s="232">
        <f t="shared" si="10"/>
        <v>-8308172.8964</v>
      </c>
      <c r="S69" s="232">
        <f t="shared" si="10"/>
        <v>-8308172.8964</v>
      </c>
      <c r="T69" s="232">
        <f t="shared" si="10"/>
        <v>-8308172.8964</v>
      </c>
      <c r="U69" s="232">
        <f t="shared" si="10"/>
        <v>-8308172.8964</v>
      </c>
      <c r="V69" s="232">
        <f t="shared" si="10"/>
        <v>-8308172.8964</v>
      </c>
      <c r="W69" s="232">
        <f t="shared" si="10"/>
        <v>-8308172.8964</v>
      </c>
      <c r="X69" s="232">
        <f t="shared" si="10"/>
        <v>-8308172.8964</v>
      </c>
      <c r="Y69" s="232">
        <f t="shared" si="10"/>
        <v>-8308172.8964</v>
      </c>
      <c r="Z69" s="232">
        <f t="shared" si="10"/>
        <v>-8308172.8964</v>
      </c>
      <c r="AA69" s="232">
        <f t="shared" si="10"/>
        <v>-8308172.8964</v>
      </c>
      <c r="AB69" s="232">
        <f t="shared" si="10"/>
        <v>-8308172.8964</v>
      </c>
      <c r="AC69" s="232">
        <f t="shared" si="10"/>
        <v>-8308172.8964</v>
      </c>
      <c r="AD69" s="232">
        <f t="shared" si="10"/>
        <v>-8308172.8964</v>
      </c>
      <c r="AE69" s="232">
        <f t="shared" si="10"/>
        <v>-8308172.8964</v>
      </c>
      <c r="AF69" s="232">
        <f t="shared" si="10"/>
        <v>-8308172.8964</v>
      </c>
      <c r="AG69" s="232">
        <f t="shared" si="10"/>
        <v>-8308172.8964</v>
      </c>
    </row>
    <row r="70" spans="1:33" s="123" customFormat="1" x14ac:dyDescent="0.2">
      <c r="A70" s="170" t="s">
        <v>218</v>
      </c>
      <c r="B70" s="230">
        <v>0</v>
      </c>
      <c r="C70" s="230">
        <v>0</v>
      </c>
      <c r="D70" s="230">
        <v>0</v>
      </c>
      <c r="E70" s="230">
        <v>0</v>
      </c>
      <c r="F70" s="230">
        <v>0</v>
      </c>
      <c r="G70" s="230">
        <v>0</v>
      </c>
      <c r="H70" s="230">
        <v>0</v>
      </c>
      <c r="I70" s="230">
        <v>0</v>
      </c>
      <c r="J70" s="230">
        <v>0</v>
      </c>
      <c r="K70" s="230">
        <v>0</v>
      </c>
      <c r="L70" s="230">
        <v>0</v>
      </c>
      <c r="M70" s="230">
        <v>0</v>
      </c>
      <c r="N70" s="230">
        <v>0</v>
      </c>
      <c r="O70" s="230">
        <v>0</v>
      </c>
      <c r="P70" s="230">
        <v>0</v>
      </c>
      <c r="Q70" s="230">
        <v>0</v>
      </c>
      <c r="R70" s="230">
        <v>0</v>
      </c>
      <c r="S70" s="230">
        <v>0</v>
      </c>
      <c r="T70" s="230">
        <v>0</v>
      </c>
      <c r="U70" s="230">
        <v>0</v>
      </c>
      <c r="V70" s="230">
        <v>0</v>
      </c>
      <c r="W70" s="230">
        <v>0</v>
      </c>
      <c r="X70" s="230">
        <v>0</v>
      </c>
      <c r="Y70" s="230">
        <v>0</v>
      </c>
      <c r="Z70" s="230">
        <v>0</v>
      </c>
      <c r="AA70" s="230">
        <v>0</v>
      </c>
      <c r="AB70" s="230">
        <v>0</v>
      </c>
      <c r="AC70" s="231">
        <v>0</v>
      </c>
      <c r="AD70" s="231">
        <v>0</v>
      </c>
      <c r="AE70" s="231">
        <v>0</v>
      </c>
      <c r="AF70" s="231">
        <v>0</v>
      </c>
      <c r="AG70" s="231">
        <v>0</v>
      </c>
    </row>
    <row r="71" spans="1:33" s="123" customFormat="1" ht="14.25" x14ac:dyDescent="0.2">
      <c r="A71" s="171" t="s">
        <v>222</v>
      </c>
      <c r="B71" s="232">
        <f t="shared" ref="B71:AG71" si="11">B69+B70</f>
        <v>0</v>
      </c>
      <c r="C71" s="232">
        <f t="shared" si="11"/>
        <v>0</v>
      </c>
      <c r="D71" s="232">
        <f t="shared" si="11"/>
        <v>-8308172.8964</v>
      </c>
      <c r="E71" s="232">
        <f t="shared" si="11"/>
        <v>-8308172.8964</v>
      </c>
      <c r="F71" s="232">
        <f t="shared" si="11"/>
        <v>-8308172.8964</v>
      </c>
      <c r="G71" s="232">
        <f t="shared" si="11"/>
        <v>-8308172.8964</v>
      </c>
      <c r="H71" s="232">
        <f t="shared" si="11"/>
        <v>-8308172.8964</v>
      </c>
      <c r="I71" s="232">
        <f t="shared" si="11"/>
        <v>-8308172.8964</v>
      </c>
      <c r="J71" s="232">
        <f t="shared" si="11"/>
        <v>-8308172.8964</v>
      </c>
      <c r="K71" s="232">
        <f t="shared" si="11"/>
        <v>-8308172.8964</v>
      </c>
      <c r="L71" s="232">
        <f t="shared" si="11"/>
        <v>-8308172.8964</v>
      </c>
      <c r="M71" s="232">
        <f t="shared" si="11"/>
        <v>-8308172.8964</v>
      </c>
      <c r="N71" s="232">
        <f t="shared" si="11"/>
        <v>-8308172.8964</v>
      </c>
      <c r="O71" s="232">
        <f t="shared" si="11"/>
        <v>-8308172.8964</v>
      </c>
      <c r="P71" s="232">
        <f t="shared" si="11"/>
        <v>-8308172.8964</v>
      </c>
      <c r="Q71" s="232">
        <f t="shared" si="11"/>
        <v>-8308172.8964</v>
      </c>
      <c r="R71" s="232">
        <f t="shared" si="11"/>
        <v>-8308172.8964</v>
      </c>
      <c r="S71" s="232">
        <f t="shared" si="11"/>
        <v>-8308172.8964</v>
      </c>
      <c r="T71" s="232">
        <f t="shared" si="11"/>
        <v>-8308172.8964</v>
      </c>
      <c r="U71" s="232">
        <f t="shared" si="11"/>
        <v>-8308172.8964</v>
      </c>
      <c r="V71" s="232">
        <f t="shared" si="11"/>
        <v>-8308172.8964</v>
      </c>
      <c r="W71" s="232">
        <f t="shared" si="11"/>
        <v>-8308172.8964</v>
      </c>
      <c r="X71" s="232">
        <f t="shared" si="11"/>
        <v>-8308172.8964</v>
      </c>
      <c r="Y71" s="232">
        <f t="shared" si="11"/>
        <v>-8308172.8964</v>
      </c>
      <c r="Z71" s="232">
        <f t="shared" si="11"/>
        <v>-8308172.8964</v>
      </c>
      <c r="AA71" s="232">
        <f t="shared" si="11"/>
        <v>-8308172.8964</v>
      </c>
      <c r="AB71" s="232">
        <f t="shared" si="11"/>
        <v>-8308172.8964</v>
      </c>
      <c r="AC71" s="232">
        <f t="shared" si="11"/>
        <v>-8308172.8964</v>
      </c>
      <c r="AD71" s="232">
        <f t="shared" si="11"/>
        <v>-8308172.8964</v>
      </c>
      <c r="AE71" s="232">
        <f t="shared" si="11"/>
        <v>-8308172.8964</v>
      </c>
      <c r="AF71" s="232">
        <f t="shared" si="11"/>
        <v>-8308172.8964</v>
      </c>
      <c r="AG71" s="232">
        <f t="shared" si="11"/>
        <v>-8308172.8964</v>
      </c>
    </row>
    <row r="72" spans="1:33" s="123" customFormat="1" x14ac:dyDescent="0.25">
      <c r="A72" s="170" t="s">
        <v>217</v>
      </c>
      <c r="B72" s="229">
        <f>-B71*$B$36</f>
        <v>0</v>
      </c>
      <c r="C72" s="229">
        <f t="shared" ref="C72:AG72" si="12">-C71*$B$36</f>
        <v>0</v>
      </c>
      <c r="D72" s="229">
        <f t="shared" si="12"/>
        <v>1661634.5792800002</v>
      </c>
      <c r="E72" s="229">
        <f t="shared" si="12"/>
        <v>1661634.5792800002</v>
      </c>
      <c r="F72" s="229">
        <f t="shared" si="12"/>
        <v>1661634.5792800002</v>
      </c>
      <c r="G72" s="229">
        <f t="shared" si="12"/>
        <v>1661634.5792800002</v>
      </c>
      <c r="H72" s="229">
        <f t="shared" si="12"/>
        <v>1661634.5792800002</v>
      </c>
      <c r="I72" s="229">
        <f t="shared" si="12"/>
        <v>1661634.5792800002</v>
      </c>
      <c r="J72" s="229">
        <f t="shared" si="12"/>
        <v>1661634.5792800002</v>
      </c>
      <c r="K72" s="229">
        <f t="shared" si="12"/>
        <v>1661634.5792800002</v>
      </c>
      <c r="L72" s="229">
        <f t="shared" si="12"/>
        <v>1661634.5792800002</v>
      </c>
      <c r="M72" s="229">
        <f t="shared" si="12"/>
        <v>1661634.5792800002</v>
      </c>
      <c r="N72" s="229">
        <f t="shared" si="12"/>
        <v>1661634.5792800002</v>
      </c>
      <c r="O72" s="229">
        <f t="shared" si="12"/>
        <v>1661634.5792800002</v>
      </c>
      <c r="P72" s="229">
        <f t="shared" si="12"/>
        <v>1661634.5792800002</v>
      </c>
      <c r="Q72" s="229">
        <f t="shared" si="12"/>
        <v>1661634.5792800002</v>
      </c>
      <c r="R72" s="229">
        <f t="shared" si="12"/>
        <v>1661634.5792800002</v>
      </c>
      <c r="S72" s="229">
        <f t="shared" si="12"/>
        <v>1661634.5792800002</v>
      </c>
      <c r="T72" s="229">
        <f t="shared" si="12"/>
        <v>1661634.5792800002</v>
      </c>
      <c r="U72" s="229">
        <f t="shared" si="12"/>
        <v>1661634.5792800002</v>
      </c>
      <c r="V72" s="229">
        <f t="shared" si="12"/>
        <v>1661634.5792800002</v>
      </c>
      <c r="W72" s="229">
        <f t="shared" si="12"/>
        <v>1661634.5792800002</v>
      </c>
      <c r="X72" s="229">
        <f t="shared" si="12"/>
        <v>1661634.5792800002</v>
      </c>
      <c r="Y72" s="229">
        <f t="shared" si="12"/>
        <v>1661634.5792800002</v>
      </c>
      <c r="Z72" s="229">
        <f t="shared" si="12"/>
        <v>1661634.5792800002</v>
      </c>
      <c r="AA72" s="229">
        <f t="shared" si="12"/>
        <v>1661634.5792800002</v>
      </c>
      <c r="AB72" s="229">
        <f t="shared" si="12"/>
        <v>1661634.5792800002</v>
      </c>
      <c r="AC72" s="229">
        <f t="shared" si="12"/>
        <v>1661634.5792800002</v>
      </c>
      <c r="AD72" s="229">
        <f t="shared" si="12"/>
        <v>1661634.5792800002</v>
      </c>
      <c r="AE72" s="229">
        <f t="shared" si="12"/>
        <v>1661634.5792800002</v>
      </c>
      <c r="AF72" s="229">
        <f t="shared" si="12"/>
        <v>1661634.5792800002</v>
      </c>
      <c r="AG72" s="229">
        <f t="shared" si="12"/>
        <v>1661634.5792800002</v>
      </c>
    </row>
    <row r="73" spans="1:33" s="123" customFormat="1" ht="15" thickBot="1" x14ac:dyDescent="0.25">
      <c r="A73" s="172" t="s">
        <v>221</v>
      </c>
      <c r="B73" s="233">
        <f t="shared" ref="B73:AG73" si="13">B71+B72</f>
        <v>0</v>
      </c>
      <c r="C73" s="233">
        <f t="shared" si="13"/>
        <v>0</v>
      </c>
      <c r="D73" s="233">
        <f t="shared" si="13"/>
        <v>-6646538.3171199998</v>
      </c>
      <c r="E73" s="233">
        <f t="shared" si="13"/>
        <v>-6646538.3171199998</v>
      </c>
      <c r="F73" s="233">
        <f t="shared" si="13"/>
        <v>-6646538.3171199998</v>
      </c>
      <c r="G73" s="233">
        <f t="shared" si="13"/>
        <v>-6646538.3171199998</v>
      </c>
      <c r="H73" s="233">
        <f t="shared" si="13"/>
        <v>-6646538.3171199998</v>
      </c>
      <c r="I73" s="233">
        <f t="shared" si="13"/>
        <v>-6646538.3171199998</v>
      </c>
      <c r="J73" s="233">
        <f t="shared" si="13"/>
        <v>-6646538.3171199998</v>
      </c>
      <c r="K73" s="233">
        <f t="shared" si="13"/>
        <v>-6646538.3171199998</v>
      </c>
      <c r="L73" s="233">
        <f t="shared" si="13"/>
        <v>-6646538.3171199998</v>
      </c>
      <c r="M73" s="233">
        <f t="shared" si="13"/>
        <v>-6646538.3171199998</v>
      </c>
      <c r="N73" s="233">
        <f t="shared" si="13"/>
        <v>-6646538.3171199998</v>
      </c>
      <c r="O73" s="233">
        <f t="shared" si="13"/>
        <v>-6646538.3171199998</v>
      </c>
      <c r="P73" s="233">
        <f t="shared" si="13"/>
        <v>-6646538.3171199998</v>
      </c>
      <c r="Q73" s="233">
        <f t="shared" si="13"/>
        <v>-6646538.3171199998</v>
      </c>
      <c r="R73" s="233">
        <f t="shared" si="13"/>
        <v>-6646538.3171199998</v>
      </c>
      <c r="S73" s="233">
        <f t="shared" si="13"/>
        <v>-6646538.3171199998</v>
      </c>
      <c r="T73" s="233">
        <f t="shared" si="13"/>
        <v>-6646538.3171199998</v>
      </c>
      <c r="U73" s="233">
        <f t="shared" si="13"/>
        <v>-6646538.3171199998</v>
      </c>
      <c r="V73" s="233">
        <f t="shared" si="13"/>
        <v>-6646538.3171199998</v>
      </c>
      <c r="W73" s="233">
        <f t="shared" si="13"/>
        <v>-6646538.3171199998</v>
      </c>
      <c r="X73" s="233">
        <f t="shared" si="13"/>
        <v>-6646538.3171199998</v>
      </c>
      <c r="Y73" s="233">
        <f t="shared" si="13"/>
        <v>-6646538.3171199998</v>
      </c>
      <c r="Z73" s="233">
        <f t="shared" si="13"/>
        <v>-6646538.3171199998</v>
      </c>
      <c r="AA73" s="233">
        <f t="shared" si="13"/>
        <v>-6646538.3171199998</v>
      </c>
      <c r="AB73" s="233">
        <f t="shared" si="13"/>
        <v>-6646538.3171199998</v>
      </c>
      <c r="AC73" s="233">
        <f t="shared" si="13"/>
        <v>-6646538.3171199998</v>
      </c>
      <c r="AD73" s="233">
        <f t="shared" si="13"/>
        <v>-6646538.3171199998</v>
      </c>
      <c r="AE73" s="233">
        <f t="shared" si="13"/>
        <v>-6646538.3171199998</v>
      </c>
      <c r="AF73" s="233">
        <f t="shared" si="13"/>
        <v>-6646538.3171199998</v>
      </c>
      <c r="AG73" s="233">
        <f t="shared" si="13"/>
        <v>-6646538.3171199998</v>
      </c>
    </row>
    <row r="74" spans="1:33" s="123" customFormat="1" ht="16.5" thickBot="1" x14ac:dyDescent="0.25">
      <c r="A74" s="165"/>
      <c r="B74" s="173">
        <v>0.5</v>
      </c>
      <c r="C74" s="173">
        <f>B74+1</f>
        <v>1.5</v>
      </c>
      <c r="D74" s="173">
        <f t="shared" ref="D74:AG74" si="14">C74+1</f>
        <v>2.5</v>
      </c>
      <c r="E74" s="173">
        <f t="shared" si="14"/>
        <v>3.5</v>
      </c>
      <c r="F74" s="173">
        <f t="shared" si="14"/>
        <v>4.5</v>
      </c>
      <c r="G74" s="173">
        <f t="shared" si="14"/>
        <v>5.5</v>
      </c>
      <c r="H74" s="173">
        <f t="shared" si="14"/>
        <v>6.5</v>
      </c>
      <c r="I74" s="173">
        <f t="shared" si="14"/>
        <v>7.5</v>
      </c>
      <c r="J74" s="173">
        <f t="shared" si="14"/>
        <v>8.5</v>
      </c>
      <c r="K74" s="173">
        <f t="shared" si="14"/>
        <v>9.5</v>
      </c>
      <c r="L74" s="173">
        <f t="shared" si="14"/>
        <v>10.5</v>
      </c>
      <c r="M74" s="173">
        <f t="shared" si="14"/>
        <v>11.5</v>
      </c>
      <c r="N74" s="173">
        <f t="shared" si="14"/>
        <v>12.5</v>
      </c>
      <c r="O74" s="173">
        <f t="shared" si="14"/>
        <v>13.5</v>
      </c>
      <c r="P74" s="173">
        <f t="shared" si="14"/>
        <v>14.5</v>
      </c>
      <c r="Q74" s="173">
        <f t="shared" si="14"/>
        <v>15.5</v>
      </c>
      <c r="R74" s="173">
        <f t="shared" si="14"/>
        <v>16.5</v>
      </c>
      <c r="S74" s="173">
        <f t="shared" si="14"/>
        <v>17.5</v>
      </c>
      <c r="T74" s="173">
        <f t="shared" si="14"/>
        <v>18.5</v>
      </c>
      <c r="U74" s="173">
        <f t="shared" si="14"/>
        <v>19.5</v>
      </c>
      <c r="V74" s="173">
        <f t="shared" si="14"/>
        <v>20.5</v>
      </c>
      <c r="W74" s="173">
        <f t="shared" si="14"/>
        <v>21.5</v>
      </c>
      <c r="X74" s="173">
        <f t="shared" si="14"/>
        <v>22.5</v>
      </c>
      <c r="Y74" s="173">
        <f t="shared" si="14"/>
        <v>23.5</v>
      </c>
      <c r="Z74" s="173">
        <f t="shared" si="14"/>
        <v>24.5</v>
      </c>
      <c r="AA74" s="173">
        <f t="shared" si="14"/>
        <v>25.5</v>
      </c>
      <c r="AB74" s="173">
        <f t="shared" si="14"/>
        <v>26.5</v>
      </c>
      <c r="AC74" s="173">
        <f t="shared" si="14"/>
        <v>27.5</v>
      </c>
      <c r="AD74" s="173">
        <f t="shared" si="14"/>
        <v>28.5</v>
      </c>
      <c r="AE74" s="173">
        <f t="shared" si="14"/>
        <v>29.5</v>
      </c>
      <c r="AF74" s="173">
        <f t="shared" si="14"/>
        <v>30.5</v>
      </c>
      <c r="AG74" s="173">
        <f t="shared" si="14"/>
        <v>31.5</v>
      </c>
    </row>
    <row r="75" spans="1:33" s="123" customFormat="1" x14ac:dyDescent="0.2">
      <c r="A75" s="166" t="s">
        <v>220</v>
      </c>
      <c r="B75" s="161">
        <v>1</v>
      </c>
      <c r="C75" s="161">
        <v>2</v>
      </c>
      <c r="D75" s="161">
        <v>3</v>
      </c>
      <c r="E75" s="161">
        <v>4</v>
      </c>
      <c r="F75" s="161">
        <v>5</v>
      </c>
      <c r="G75" s="161">
        <v>6</v>
      </c>
      <c r="H75" s="161">
        <v>7</v>
      </c>
      <c r="I75" s="161">
        <v>8</v>
      </c>
      <c r="J75" s="161">
        <v>9</v>
      </c>
      <c r="K75" s="161">
        <v>10</v>
      </c>
      <c r="L75" s="161">
        <v>11</v>
      </c>
      <c r="M75" s="161">
        <v>12</v>
      </c>
      <c r="N75" s="161">
        <v>13</v>
      </c>
      <c r="O75" s="161">
        <v>14</v>
      </c>
      <c r="P75" s="161">
        <v>15</v>
      </c>
      <c r="Q75" s="161">
        <v>16</v>
      </c>
      <c r="R75" s="161">
        <v>17</v>
      </c>
      <c r="S75" s="161">
        <v>18</v>
      </c>
      <c r="T75" s="161">
        <v>19</v>
      </c>
      <c r="U75" s="161">
        <v>20</v>
      </c>
      <c r="V75" s="161">
        <v>21</v>
      </c>
      <c r="W75" s="161">
        <v>22</v>
      </c>
      <c r="X75" s="161">
        <v>23</v>
      </c>
      <c r="Y75" s="161">
        <v>24</v>
      </c>
      <c r="Z75" s="161">
        <v>25</v>
      </c>
      <c r="AA75" s="161">
        <v>26</v>
      </c>
      <c r="AB75" s="161">
        <v>27</v>
      </c>
      <c r="AC75" s="161">
        <v>28</v>
      </c>
      <c r="AD75" s="161">
        <v>29</v>
      </c>
      <c r="AE75" s="161">
        <v>30</v>
      </c>
      <c r="AF75" s="161">
        <v>31</v>
      </c>
      <c r="AG75" s="161">
        <v>32</v>
      </c>
    </row>
    <row r="76" spans="1:33" s="123" customFormat="1" ht="14.25" x14ac:dyDescent="0.2">
      <c r="A76" s="169" t="s">
        <v>390</v>
      </c>
      <c r="B76" s="232">
        <f>B69</f>
        <v>0</v>
      </c>
      <c r="C76" s="232">
        <f t="shared" ref="C76:AG76" si="15">C69</f>
        <v>0</v>
      </c>
      <c r="D76" s="232">
        <f t="shared" si="15"/>
        <v>-8308172.8964</v>
      </c>
      <c r="E76" s="232">
        <f t="shared" si="15"/>
        <v>-8308172.8964</v>
      </c>
      <c r="F76" s="232">
        <f t="shared" si="15"/>
        <v>-8308172.8964</v>
      </c>
      <c r="G76" s="232">
        <f t="shared" si="15"/>
        <v>-8308172.8964</v>
      </c>
      <c r="H76" s="232">
        <f t="shared" si="15"/>
        <v>-8308172.8964</v>
      </c>
      <c r="I76" s="232">
        <f t="shared" si="15"/>
        <v>-8308172.8964</v>
      </c>
      <c r="J76" s="232">
        <f t="shared" si="15"/>
        <v>-8308172.8964</v>
      </c>
      <c r="K76" s="232">
        <f t="shared" si="15"/>
        <v>-8308172.8964</v>
      </c>
      <c r="L76" s="232">
        <f t="shared" si="15"/>
        <v>-8308172.8964</v>
      </c>
      <c r="M76" s="232">
        <f t="shared" si="15"/>
        <v>-8308172.8964</v>
      </c>
      <c r="N76" s="232">
        <f t="shared" si="15"/>
        <v>-8308172.8964</v>
      </c>
      <c r="O76" s="232">
        <f t="shared" si="15"/>
        <v>-8308172.8964</v>
      </c>
      <c r="P76" s="232">
        <f t="shared" si="15"/>
        <v>-8308172.8964</v>
      </c>
      <c r="Q76" s="232">
        <f t="shared" si="15"/>
        <v>-8308172.8964</v>
      </c>
      <c r="R76" s="232">
        <f t="shared" si="15"/>
        <v>-8308172.8964</v>
      </c>
      <c r="S76" s="232">
        <f t="shared" si="15"/>
        <v>-8308172.8964</v>
      </c>
      <c r="T76" s="232">
        <f t="shared" si="15"/>
        <v>-8308172.8964</v>
      </c>
      <c r="U76" s="232">
        <f t="shared" si="15"/>
        <v>-8308172.8964</v>
      </c>
      <c r="V76" s="232">
        <f t="shared" si="15"/>
        <v>-8308172.8964</v>
      </c>
      <c r="W76" s="232">
        <f t="shared" si="15"/>
        <v>-8308172.8964</v>
      </c>
      <c r="X76" s="232">
        <f t="shared" si="15"/>
        <v>-8308172.8964</v>
      </c>
      <c r="Y76" s="232">
        <f t="shared" si="15"/>
        <v>-8308172.8964</v>
      </c>
      <c r="Z76" s="232">
        <f t="shared" si="15"/>
        <v>-8308172.8964</v>
      </c>
      <c r="AA76" s="232">
        <f t="shared" si="15"/>
        <v>-8308172.8964</v>
      </c>
      <c r="AB76" s="232">
        <f t="shared" si="15"/>
        <v>-8308172.8964</v>
      </c>
      <c r="AC76" s="232">
        <f t="shared" si="15"/>
        <v>-8308172.8964</v>
      </c>
      <c r="AD76" s="232">
        <f t="shared" si="15"/>
        <v>-8308172.8964</v>
      </c>
      <c r="AE76" s="232">
        <f t="shared" si="15"/>
        <v>-8308172.8964</v>
      </c>
      <c r="AF76" s="232">
        <f t="shared" si="15"/>
        <v>-8308172.8964</v>
      </c>
      <c r="AG76" s="232">
        <f t="shared" si="15"/>
        <v>-8308172.8964</v>
      </c>
    </row>
    <row r="77" spans="1:33" s="123" customFormat="1" x14ac:dyDescent="0.25">
      <c r="A77" s="170" t="s">
        <v>219</v>
      </c>
      <c r="B77" s="229">
        <f>-B68</f>
        <v>0</v>
      </c>
      <c r="C77" s="229">
        <f t="shared" ref="C77:AG77" si="16">-C68</f>
        <v>0</v>
      </c>
      <c r="D77" s="229">
        <f t="shared" si="16"/>
        <v>8308172.8964</v>
      </c>
      <c r="E77" s="229">
        <f t="shared" si="16"/>
        <v>8308172.8964</v>
      </c>
      <c r="F77" s="229">
        <f t="shared" si="16"/>
        <v>8308172.8964</v>
      </c>
      <c r="G77" s="229">
        <f t="shared" si="16"/>
        <v>8308172.8964</v>
      </c>
      <c r="H77" s="229">
        <f t="shared" si="16"/>
        <v>8308172.8964</v>
      </c>
      <c r="I77" s="229">
        <f t="shared" si="16"/>
        <v>8308172.8964</v>
      </c>
      <c r="J77" s="229">
        <f t="shared" si="16"/>
        <v>8308172.8964</v>
      </c>
      <c r="K77" s="229">
        <f t="shared" si="16"/>
        <v>8308172.8964</v>
      </c>
      <c r="L77" s="229">
        <f t="shared" si="16"/>
        <v>8308172.8964</v>
      </c>
      <c r="M77" s="229">
        <f t="shared" si="16"/>
        <v>8308172.8964</v>
      </c>
      <c r="N77" s="229">
        <f t="shared" si="16"/>
        <v>8308172.8964</v>
      </c>
      <c r="O77" s="229">
        <f t="shared" si="16"/>
        <v>8308172.8964</v>
      </c>
      <c r="P77" s="229">
        <f t="shared" si="16"/>
        <v>8308172.8964</v>
      </c>
      <c r="Q77" s="229">
        <f t="shared" si="16"/>
        <v>8308172.8964</v>
      </c>
      <c r="R77" s="229">
        <f t="shared" si="16"/>
        <v>8308172.8964</v>
      </c>
      <c r="S77" s="229">
        <f t="shared" si="16"/>
        <v>8308172.8964</v>
      </c>
      <c r="T77" s="229">
        <f t="shared" si="16"/>
        <v>8308172.8964</v>
      </c>
      <c r="U77" s="229">
        <f t="shared" si="16"/>
        <v>8308172.8964</v>
      </c>
      <c r="V77" s="229">
        <f t="shared" si="16"/>
        <v>8308172.8964</v>
      </c>
      <c r="W77" s="229">
        <f t="shared" si="16"/>
        <v>8308172.8964</v>
      </c>
      <c r="X77" s="229">
        <f t="shared" si="16"/>
        <v>8308172.8964</v>
      </c>
      <c r="Y77" s="229">
        <f t="shared" si="16"/>
        <v>8308172.8964</v>
      </c>
      <c r="Z77" s="229">
        <f t="shared" si="16"/>
        <v>8308172.8964</v>
      </c>
      <c r="AA77" s="229">
        <f t="shared" si="16"/>
        <v>8308172.8964</v>
      </c>
      <c r="AB77" s="229">
        <f t="shared" si="16"/>
        <v>8308172.8964</v>
      </c>
      <c r="AC77" s="229">
        <f t="shared" si="16"/>
        <v>8308172.8964</v>
      </c>
      <c r="AD77" s="229">
        <f t="shared" si="16"/>
        <v>8308172.8964</v>
      </c>
      <c r="AE77" s="229">
        <f t="shared" si="16"/>
        <v>8308172.8964</v>
      </c>
      <c r="AF77" s="229">
        <f t="shared" si="16"/>
        <v>8308172.8964</v>
      </c>
      <c r="AG77" s="229">
        <f t="shared" si="16"/>
        <v>8308172.8964</v>
      </c>
    </row>
    <row r="78" spans="1:33" s="123" customFormat="1" x14ac:dyDescent="0.25">
      <c r="A78" s="170" t="s">
        <v>218</v>
      </c>
      <c r="B78" s="229">
        <f t="shared" ref="B78:AG78" si="17">B70</f>
        <v>0</v>
      </c>
      <c r="C78" s="229">
        <f t="shared" si="17"/>
        <v>0</v>
      </c>
      <c r="D78" s="229">
        <f t="shared" si="17"/>
        <v>0</v>
      </c>
      <c r="E78" s="229">
        <f t="shared" si="17"/>
        <v>0</v>
      </c>
      <c r="F78" s="229">
        <f t="shared" si="17"/>
        <v>0</v>
      </c>
      <c r="G78" s="229">
        <f t="shared" si="17"/>
        <v>0</v>
      </c>
      <c r="H78" s="229">
        <f t="shared" si="17"/>
        <v>0</v>
      </c>
      <c r="I78" s="229">
        <f t="shared" si="17"/>
        <v>0</v>
      </c>
      <c r="J78" s="229">
        <f t="shared" si="17"/>
        <v>0</v>
      </c>
      <c r="K78" s="229">
        <f t="shared" si="17"/>
        <v>0</v>
      </c>
      <c r="L78" s="229">
        <f t="shared" si="17"/>
        <v>0</v>
      </c>
      <c r="M78" s="229">
        <f t="shared" si="17"/>
        <v>0</v>
      </c>
      <c r="N78" s="229">
        <f t="shared" si="17"/>
        <v>0</v>
      </c>
      <c r="O78" s="229">
        <f t="shared" si="17"/>
        <v>0</v>
      </c>
      <c r="P78" s="229">
        <f t="shared" si="17"/>
        <v>0</v>
      </c>
      <c r="Q78" s="229">
        <f t="shared" si="17"/>
        <v>0</v>
      </c>
      <c r="R78" s="229">
        <f t="shared" si="17"/>
        <v>0</v>
      </c>
      <c r="S78" s="229">
        <f t="shared" si="17"/>
        <v>0</v>
      </c>
      <c r="T78" s="229">
        <f t="shared" si="17"/>
        <v>0</v>
      </c>
      <c r="U78" s="229">
        <f t="shared" si="17"/>
        <v>0</v>
      </c>
      <c r="V78" s="229">
        <f t="shared" si="17"/>
        <v>0</v>
      </c>
      <c r="W78" s="229">
        <f t="shared" si="17"/>
        <v>0</v>
      </c>
      <c r="X78" s="229">
        <f t="shared" si="17"/>
        <v>0</v>
      </c>
      <c r="Y78" s="229">
        <f t="shared" si="17"/>
        <v>0</v>
      </c>
      <c r="Z78" s="229">
        <f t="shared" si="17"/>
        <v>0</v>
      </c>
      <c r="AA78" s="229">
        <f t="shared" si="17"/>
        <v>0</v>
      </c>
      <c r="AB78" s="229">
        <f t="shared" si="17"/>
        <v>0</v>
      </c>
      <c r="AC78" s="229">
        <f t="shared" si="17"/>
        <v>0</v>
      </c>
      <c r="AD78" s="229">
        <f t="shared" si="17"/>
        <v>0</v>
      </c>
      <c r="AE78" s="229">
        <f t="shared" si="17"/>
        <v>0</v>
      </c>
      <c r="AF78" s="229">
        <f t="shared" si="17"/>
        <v>0</v>
      </c>
      <c r="AG78" s="229">
        <f t="shared" si="17"/>
        <v>0</v>
      </c>
    </row>
    <row r="79" spans="1:33" s="123" customFormat="1" x14ac:dyDescent="0.25">
      <c r="A79" s="170" t="s">
        <v>217</v>
      </c>
      <c r="B79" s="229">
        <f>IF(SUM($B$72:B72)+SUM($A$79:A79)&gt;0,0,SUM($B$72:B72)-SUM($A$79:A79))</f>
        <v>0</v>
      </c>
      <c r="C79" s="229">
        <f>IF(SUM($B$72:C72)+SUM($A$79:B79)&gt;0,0,SUM($B$72:C72)-SUM($A$79:B79))</f>
        <v>0</v>
      </c>
      <c r="D79" s="229">
        <f>IF(SUM($B$72:D72)+SUM($A$79:C79)&gt;0,0,SUM($B$72:D72)-SUM($A$79:C79))</f>
        <v>0</v>
      </c>
      <c r="E79" s="229">
        <f>IF(SUM($B$72:E72)+SUM($A$79:D79)&gt;0,0,SUM($B$72:E72)-SUM($A$79:D79))</f>
        <v>0</v>
      </c>
      <c r="F79" s="229">
        <f>IF(SUM($B$72:F72)+SUM($A$79:E79)&gt;0,0,SUM($B$72:F72)-SUM($A$79:E79))</f>
        <v>0</v>
      </c>
      <c r="G79" s="229">
        <f>IF(SUM($B$72:G72)+SUM($A$79:F79)&gt;0,0,SUM($B$72:G72)-SUM($A$79:F79))</f>
        <v>0</v>
      </c>
      <c r="H79" s="229">
        <f>IF(SUM($B$72:H72)+SUM($A$79:G79)&gt;0,0,SUM($B$72:H72)-SUM($A$79:G79))</f>
        <v>0</v>
      </c>
      <c r="I79" s="229">
        <f>IF(SUM($B$72:I72)+SUM($A$79:H79)&gt;0,0,SUM($B$72:I72)-SUM($A$79:H79))</f>
        <v>0</v>
      </c>
      <c r="J79" s="229">
        <f>IF(SUM($B$72:J72)+SUM($A$79:I79)&gt;0,0,SUM($B$72:J72)-SUM($A$79:I79))</f>
        <v>0</v>
      </c>
      <c r="K79" s="229">
        <f>IF(SUM($B$72:K72)+SUM($A$79:J79)&gt;0,0,SUM($B$72:K72)-SUM($A$79:J79))</f>
        <v>0</v>
      </c>
      <c r="L79" s="229">
        <f>IF(SUM($B$72:L72)+SUM($A$79:K79)&gt;0,0,SUM($B$72:L72)-SUM($A$79:K79))</f>
        <v>0</v>
      </c>
      <c r="M79" s="229">
        <f>IF(SUM($B$72:M72)+SUM($A$79:L79)&gt;0,0,SUM($B$72:M72)-SUM($A$79:L79))</f>
        <v>0</v>
      </c>
      <c r="N79" s="229">
        <f>IF(SUM($B$72:N72)+SUM($A$79:M79)&gt;0,0,SUM($B$72:N72)-SUM($A$79:M79))</f>
        <v>0</v>
      </c>
      <c r="O79" s="229">
        <f>IF(SUM($B$72:O72)+SUM($A$79:N79)&gt;0,0,SUM($B$72:O72)-SUM($A$79:N79))</f>
        <v>0</v>
      </c>
      <c r="P79" s="229">
        <f>IF(SUM($B$72:P72)+SUM($A$79:O79)&gt;0,0,SUM($B$72:P72)-SUM($A$79:O79))</f>
        <v>0</v>
      </c>
      <c r="Q79" s="229">
        <f>IF(SUM($B$72:Q72)+SUM($A$79:P79)&gt;0,0,SUM($B$72:Q72)-SUM($A$79:P79))</f>
        <v>0</v>
      </c>
      <c r="R79" s="229">
        <f>IF(SUM($B$72:R72)+SUM($A$79:Q79)&gt;0,0,SUM($B$72:R72)-SUM($A$79:Q79))</f>
        <v>0</v>
      </c>
      <c r="S79" s="229">
        <f>IF(SUM($B$72:S72)+SUM($A$79:R79)&gt;0,0,SUM($B$72:S72)-SUM($A$79:R79))</f>
        <v>0</v>
      </c>
      <c r="T79" s="229">
        <f>IF(SUM($B$72:T72)+SUM($A$79:S79)&gt;0,0,SUM($B$72:T72)-SUM($A$79:S79))</f>
        <v>0</v>
      </c>
      <c r="U79" s="229">
        <f>IF(SUM($B$72:U72)+SUM($A$79:T79)&gt;0,0,SUM($B$72:U72)-SUM($A$79:T79))</f>
        <v>0</v>
      </c>
      <c r="V79" s="229">
        <f>IF(SUM($B$72:V72)+SUM($A$79:U79)&gt;0,0,SUM($B$72:V72)-SUM($A$79:U79))</f>
        <v>0</v>
      </c>
      <c r="W79" s="229">
        <f>IF(SUM($B$72:W72)+SUM($A$79:V79)&gt;0,0,SUM($B$72:W72)-SUM($A$79:V79))</f>
        <v>0</v>
      </c>
      <c r="X79" s="229">
        <f>IF(SUM($B$72:X72)+SUM($A$79:W79)&gt;0,0,SUM($B$72:X72)-SUM($A$79:W79))</f>
        <v>0</v>
      </c>
      <c r="Y79" s="229">
        <f>IF(SUM($B$72:Y72)+SUM($A$79:X79)&gt;0,0,SUM($B$72:Y72)-SUM($A$79:X79))</f>
        <v>0</v>
      </c>
      <c r="Z79" s="229">
        <f>IF(SUM($B$72:Z72)+SUM($A$79:Y79)&gt;0,0,SUM($B$72:Z72)-SUM($A$79:Y79))</f>
        <v>0</v>
      </c>
      <c r="AA79" s="229">
        <f>IF(SUM($B$72:AA72)+SUM($A$79:Z79)&gt;0,0,SUM($B$72:AA72)-SUM($A$79:Z79))</f>
        <v>0</v>
      </c>
      <c r="AB79" s="229">
        <f>IF(SUM($B$72:AB72)+SUM($A$79:AA79)&gt;0,0,SUM($B$72:AB72)-SUM($A$79:AA79))</f>
        <v>0</v>
      </c>
      <c r="AC79" s="229">
        <f>IF(SUM($B$72:AC72)+SUM($A$79:AB79)&gt;0,0,SUM($B$72:AC72)-SUM($A$79:AB79))</f>
        <v>0</v>
      </c>
      <c r="AD79" s="229">
        <f>IF(SUM($B$72:AD72)+SUM($A$79:AC79)&gt;0,0,SUM($B$72:AD72)-SUM($A$79:AC79))</f>
        <v>0</v>
      </c>
      <c r="AE79" s="229">
        <f>IF(SUM($B$72:AE72)+SUM($A$79:AD79)&gt;0,0,SUM($B$72:AE72)-SUM($A$79:AD79))</f>
        <v>0</v>
      </c>
      <c r="AF79" s="229">
        <f>IF(SUM($B$72:AF72)+SUM($A$79:AE79)&gt;0,0,SUM($B$72:AF72)-SUM($A$79:AE79))</f>
        <v>0</v>
      </c>
      <c r="AG79" s="229">
        <f>IF(SUM($B$72:AG72)+SUM($A$79:AF79)&gt;0,0,SUM($B$72:AG72)-SUM($A$79:AF79))</f>
        <v>0</v>
      </c>
    </row>
    <row r="80" spans="1:33" s="123" customFormat="1" x14ac:dyDescent="0.25">
      <c r="A80" s="170" t="s">
        <v>216</v>
      </c>
      <c r="B80" s="229">
        <f>IF(((SUM($B$59:B59)+SUM($B$61:B65))+SUM($B$82:B82))&lt;0,((SUM($B$59:B59)+SUM($B$61:B65))+SUM($B$82:B82))*0.2-SUM($A$80:A80),IF(SUM(A$80:$A80)&lt;0,0-SUM(A$80:$A80),0))</f>
        <v>-1176867.892</v>
      </c>
      <c r="C80" s="229">
        <f>IF(((SUM($B$59:C59)+SUM($B$61:C65))+SUM($B$82:C82))&lt;0,((SUM($B$59:C59)+SUM($B$61:C65))+SUM($B$82:C82))*0.2-SUM($A$80:B80),IF(SUM($A$80:B80)&lt;0,0-SUM($A$80:B80),0))</f>
        <v>-792913.69799999986</v>
      </c>
      <c r="D80" s="229">
        <f>IF(((SUM($B$59:D59)+SUM($B$61:D65))+SUM($B$82:D82))&lt;0,((SUM($B$59:D59)+SUM($B$61:D65))+SUM($B$82:D82))*0.2-SUM($A$80:C80),IF(SUM($A$80:C80)&lt;0,0-SUM($A$80:C80),0))</f>
        <v>0</v>
      </c>
      <c r="E80" s="229">
        <f>IF(((SUM($B$59:E59)+SUM($B$61:E65))+SUM($B$82:E82))&lt;0,((SUM($B$59:E59)+SUM($B$61:E65))+SUM($B$82:E82))*0.2-SUM($A$80:D80),IF(SUM($A$80:D80)&lt;0,0-SUM($A$80:D80),0))</f>
        <v>0</v>
      </c>
      <c r="F80" s="229">
        <f>IF(((SUM($B$59:F59)+SUM($B$61:F65))+SUM($B$82:F82))&lt;0,((SUM($B$59:F59)+SUM($B$61:F65))+SUM($B$82:F82))*0.2-SUM($A$80:E80),IF(SUM($A$80:E80)&lt;0,0-SUM($A$80:E80),0))</f>
        <v>0</v>
      </c>
      <c r="G80" s="229">
        <f>IF(((SUM($B$59:G59)+SUM($B$61:G65))+SUM($B$82:G82))&lt;0,((SUM($B$59:G59)+SUM($B$61:G65))+SUM($B$82:G82))*0.2-SUM($A$80:F80),IF(SUM($A$80:F80)&lt;0,0-SUM($A$80:F80),0))</f>
        <v>0</v>
      </c>
      <c r="H80" s="229">
        <f>IF(((SUM($B$59:H59)+SUM($B$61:H65))+SUM($B$82:H82))&lt;0,((SUM($B$59:H59)+SUM($B$61:H65))+SUM($B$82:H82))*0.2-SUM($A$80:G80),IF(SUM($A$80:G80)&lt;0,0-SUM($A$80:G80),0))</f>
        <v>0</v>
      </c>
      <c r="I80" s="229">
        <f>IF(((SUM($B$59:I59)+SUM($B$61:I65))+SUM($B$82:I82))&lt;0,((SUM($B$59:I59)+SUM($B$61:I65))+SUM($B$82:I82))*0.2-SUM($A$80:H80),IF(SUM($A$80:H80)&lt;0,0-SUM($A$80:H80),0))</f>
        <v>0</v>
      </c>
      <c r="J80" s="229">
        <f>IF(((SUM($B$59:J59)+SUM($B$61:J65))+SUM($B$82:J82))&lt;0,((SUM($B$59:J59)+SUM($B$61:J65))+SUM($B$82:J82))*0.2-SUM($A$80:I80),IF(SUM($A$80:I80)&lt;0,0-SUM($A$80:I80),0))</f>
        <v>0</v>
      </c>
      <c r="K80" s="229">
        <f>IF(((SUM($B$59:K59)+SUM($B$61:K65))+SUM($B$82:K82))&lt;0,((SUM($B$59:K59)+SUM($B$61:K65))+SUM($B$82:K82))*0.2-SUM($A$80:J80),IF(SUM($A$80:J80)&lt;0,0-SUM($A$80:J80),0))</f>
        <v>0</v>
      </c>
      <c r="L80" s="229">
        <f>IF(((SUM($B$59:L59)+SUM($B$61:L65))+SUM($B$82:L82))&lt;0,((SUM($B$59:L59)+SUM($B$61:L65))+SUM($B$82:L82))*0.2-SUM($A$80:K80),IF(SUM($A$80:K80)&lt;0,0-SUM($A$80:K80),0))</f>
        <v>0</v>
      </c>
      <c r="M80" s="229">
        <f>IF(((SUM($B$59:M59)+SUM($B$61:M65))+SUM($B$82:M82))&lt;0,((SUM($B$59:M59)+SUM($B$61:M65))+SUM($B$82:M82))*0.2-SUM($A$80:L80),IF(SUM($A$80:L80)&lt;0,0-SUM($A$80:L80),0))</f>
        <v>0</v>
      </c>
      <c r="N80" s="229">
        <f>IF(((SUM($B$59:N59)+SUM($B$61:N65))+SUM($B$82:N82))&lt;0,((SUM($B$59:N59)+SUM($B$61:N65))+SUM($B$82:N82))*0.2-SUM($A$80:M80),IF(SUM($A$80:M80)&lt;0,0-SUM($A$80:M80),0))</f>
        <v>0</v>
      </c>
      <c r="O80" s="229">
        <f>IF(((SUM($B$59:O59)+SUM($B$61:O65))+SUM($B$82:O82))&lt;0,((SUM($B$59:O59)+SUM($B$61:O65))+SUM($B$82:O82))*0.2-SUM($A$80:N80),IF(SUM($A$80:N80)&lt;0,0-SUM($A$80:N80),0))</f>
        <v>0</v>
      </c>
      <c r="P80" s="229">
        <f>IF(((SUM($B$59:P59)+SUM($B$61:P65))+SUM($B$82:P82))&lt;0,((SUM($B$59:P59)+SUM($B$61:P65))+SUM($B$82:P82))*0.2-SUM($A$80:O80),IF(SUM($A$80:O80)&lt;0,0-SUM($A$80:O80),0))</f>
        <v>0</v>
      </c>
      <c r="Q80" s="229">
        <f>IF(((SUM($B$59:Q59)+SUM($B$61:Q65))+SUM($B$82:Q82))&lt;0,((SUM($B$59:Q59)+SUM($B$61:Q65))+SUM($B$82:Q82))*0.2-SUM($A$80:P80),IF(SUM($A$80:P80)&lt;0,0-SUM($A$80:P80),0))</f>
        <v>0</v>
      </c>
      <c r="R80" s="229">
        <f>IF(((SUM($B$59:R59)+SUM($B$61:R65))+SUM($B$82:R82))&lt;0,((SUM($B$59:R59)+SUM($B$61:R65))+SUM($B$82:R82))*0.2-SUM($A$80:Q80),IF(SUM($A$80:Q80)&lt;0,0-SUM($A$80:Q80),0))</f>
        <v>0</v>
      </c>
      <c r="S80" s="229">
        <f>IF(((SUM($B$59:S59)+SUM($B$61:S65))+SUM($B$82:S82))&lt;0,((SUM($B$59:S59)+SUM($B$61:S65))+SUM($B$82:S82))*0.2-SUM($A$80:R80),IF(SUM($A$80:R80)&lt;0,0-SUM($A$80:R80),0))</f>
        <v>0</v>
      </c>
      <c r="T80" s="229">
        <f>IF(((SUM($B$59:T59)+SUM($B$61:T65))+SUM($B$82:T82))&lt;0,((SUM($B$59:T59)+SUM($B$61:T65))+SUM($B$82:T82))*0.2-SUM($A$80:S80),IF(SUM($A$80:S80)&lt;0,0-SUM($A$80:S80),0))</f>
        <v>0</v>
      </c>
      <c r="U80" s="229">
        <f>IF(((SUM($B$59:U59)+SUM($B$61:U65))+SUM($B$82:U82))&lt;0,((SUM($B$59:U59)+SUM($B$61:U65))+SUM($B$82:U82))*0.2-SUM($A$80:T80),IF(SUM($A$80:T80)&lt;0,0-SUM($A$80:T80),0))</f>
        <v>0</v>
      </c>
      <c r="V80" s="229">
        <f>IF(((SUM($B$59:V59)+SUM($B$61:V65))+SUM($B$82:V82))&lt;0,((SUM($B$59:V59)+SUM($B$61:V65))+SUM($B$82:V82))*0.2-SUM($A$80:U80),IF(SUM($A$80:U80)&lt;0,0-SUM($A$80:U80),0))</f>
        <v>0</v>
      </c>
      <c r="W80" s="229">
        <f>IF(((SUM($B$59:W59)+SUM($B$61:W65))+SUM($B$82:W82))&lt;0,((SUM($B$59:W59)+SUM($B$61:W65))+SUM($B$82:W82))*0.2-SUM($A$80:V80),IF(SUM($A$80:V80)&lt;0,0-SUM($A$80:V80),0))</f>
        <v>0</v>
      </c>
      <c r="X80" s="229">
        <f>IF(((SUM($B$59:X59)+SUM($B$61:X65))+SUM($B$82:X82))&lt;0,((SUM($B$59:X59)+SUM($B$61:X65))+SUM($B$82:X82))*0.2-SUM($A$80:W80),IF(SUM($A$80:W80)&lt;0,0-SUM($A$80:W80),0))</f>
        <v>0</v>
      </c>
      <c r="Y80" s="229">
        <f>IF(((SUM($B$59:Y59)+SUM($B$61:Y65))+SUM($B$82:Y82))&lt;0,((SUM($B$59:Y59)+SUM($B$61:Y65))+SUM($B$82:Y82))*0.2-SUM($A$80:X80),IF(SUM($A$80:X80)&lt;0,0-SUM($A$80:X80),0))</f>
        <v>0</v>
      </c>
      <c r="Z80" s="229">
        <f>IF(((SUM($B$59:Z59)+SUM($B$61:Z65))+SUM($B$82:Z82))&lt;0,((SUM($B$59:Z59)+SUM($B$61:Z65))+SUM($B$82:Z82))*0.2-SUM($A$80:Y80),IF(SUM($A$80:Y80)&lt;0,0-SUM($A$80:Y80),0))</f>
        <v>0</v>
      </c>
      <c r="AA80" s="229">
        <f>IF(((SUM($B$59:AA59)+SUM($B$61:AA65))+SUM($B$82:AA82))&lt;0,((SUM($B$59:AA59)+SUM($B$61:AA65))+SUM($B$82:AA82))*0.2-SUM($A$80:Z80),IF(SUM($A$80:Z80)&lt;0,0-SUM($A$80:Z80),0))</f>
        <v>0</v>
      </c>
      <c r="AB80" s="229">
        <f>IF(((SUM($B$59:AB59)+SUM($B$61:AB65))+SUM($B$82:AB82))&lt;0,((SUM($B$59:AB59)+SUM($B$61:AB65))+SUM($B$82:AB82))*0.2-SUM($A$80:AA80),IF(SUM($A$80:AA80)&lt;0,0-SUM($A$80:AA80),0))</f>
        <v>0</v>
      </c>
      <c r="AC80" s="229">
        <f>IF(((SUM($B$59:AC59)+SUM($B$61:AC65))+SUM($B$82:AC82))&lt;0,((SUM($B$59:AC59)+SUM($B$61:AC65))+SUM($B$82:AC82))*0.2-SUM($A$80:AB80),IF(SUM($A$80:AB80)&lt;0,0-SUM($A$80:AB80),0))</f>
        <v>0</v>
      </c>
      <c r="AD80" s="229">
        <f>IF(((SUM($B$59:AD59)+SUM($B$61:AD65))+SUM($B$82:AD82))&lt;0,((SUM($B$59:AD59)+SUM($B$61:AD65))+SUM($B$82:AD82))*0.2-SUM($A$80:AC80),IF(SUM($A$80:AC80)&lt;0,0-SUM($A$80:AC80),0))</f>
        <v>0</v>
      </c>
      <c r="AE80" s="229">
        <f>IF(((SUM($B$59:AE59)+SUM($B$61:AE65))+SUM($B$82:AE82))&lt;0,((SUM($B$59:AE59)+SUM($B$61:AE65))+SUM($B$82:AE82))*0.2-SUM($A$80:AD80),IF(SUM($A$80:AD80)&lt;0,0-SUM($A$80:AD80),0))</f>
        <v>0</v>
      </c>
      <c r="AF80" s="229">
        <f>IF(((SUM($B$59:AF59)+SUM($B$61:AF65))+SUM($B$82:AF82))&lt;0,((SUM($B$59:AF59)+SUM($B$61:AF65))+SUM($B$82:AF82))*0.2-SUM($A$80:AE80),IF(SUM($A$80:AE80)&lt;0,0-SUM($A$80:AE80),0))</f>
        <v>0</v>
      </c>
      <c r="AG80" s="229">
        <f>IF(((SUM($B$59:AG59)+SUM($B$61:AG65))+SUM($B$82:AG82))&lt;0,((SUM($B$59:AG59)+SUM($B$61:AG65))+SUM($B$82:AG82))*0.2-SUM($A$80:AF80),IF(SUM($A$80:AF80)&lt;0,0-SUM($A$80:AF80),0))</f>
        <v>0</v>
      </c>
    </row>
    <row r="81" spans="1:33" s="123" customFormat="1" x14ac:dyDescent="0.25">
      <c r="A81" s="170" t="s">
        <v>215</v>
      </c>
      <c r="B81" s="229">
        <f>-B59*(B39)</f>
        <v>0</v>
      </c>
      <c r="C81" s="229">
        <f t="shared" ref="C81:AG81" si="18">-C59*(C39)</f>
        <v>0</v>
      </c>
      <c r="D81" s="229">
        <f t="shared" si="18"/>
        <v>0</v>
      </c>
      <c r="E81" s="229">
        <f t="shared" si="18"/>
        <v>0</v>
      </c>
      <c r="F81" s="229">
        <f t="shared" si="18"/>
        <v>0</v>
      </c>
      <c r="G81" s="229">
        <f t="shared" si="18"/>
        <v>0</v>
      </c>
      <c r="H81" s="229">
        <f t="shared" si="18"/>
        <v>0</v>
      </c>
      <c r="I81" s="229">
        <f t="shared" si="18"/>
        <v>0</v>
      </c>
      <c r="J81" s="229">
        <f t="shared" si="18"/>
        <v>0</v>
      </c>
      <c r="K81" s="229">
        <f t="shared" si="18"/>
        <v>0</v>
      </c>
      <c r="L81" s="229">
        <f t="shared" si="18"/>
        <v>0</v>
      </c>
      <c r="M81" s="229">
        <f t="shared" si="18"/>
        <v>0</v>
      </c>
      <c r="N81" s="229">
        <f t="shared" si="18"/>
        <v>0</v>
      </c>
      <c r="O81" s="229">
        <f t="shared" si="18"/>
        <v>0</v>
      </c>
      <c r="P81" s="229">
        <f t="shared" si="18"/>
        <v>0</v>
      </c>
      <c r="Q81" s="229">
        <f t="shared" si="18"/>
        <v>0</v>
      </c>
      <c r="R81" s="229">
        <f t="shared" si="18"/>
        <v>0</v>
      </c>
      <c r="S81" s="229">
        <f t="shared" si="18"/>
        <v>0</v>
      </c>
      <c r="T81" s="229">
        <f t="shared" si="18"/>
        <v>0</v>
      </c>
      <c r="U81" s="229">
        <f t="shared" si="18"/>
        <v>0</v>
      </c>
      <c r="V81" s="229">
        <f t="shared" si="18"/>
        <v>0</v>
      </c>
      <c r="W81" s="229">
        <f t="shared" si="18"/>
        <v>0</v>
      </c>
      <c r="X81" s="229">
        <f t="shared" si="18"/>
        <v>0</v>
      </c>
      <c r="Y81" s="229">
        <f t="shared" si="18"/>
        <v>0</v>
      </c>
      <c r="Z81" s="229">
        <f t="shared" si="18"/>
        <v>0</v>
      </c>
      <c r="AA81" s="229">
        <f t="shared" si="18"/>
        <v>0</v>
      </c>
      <c r="AB81" s="229">
        <f t="shared" si="18"/>
        <v>0</v>
      </c>
      <c r="AC81" s="229">
        <f t="shared" si="18"/>
        <v>0</v>
      </c>
      <c r="AD81" s="229">
        <f t="shared" si="18"/>
        <v>0</v>
      </c>
      <c r="AE81" s="229">
        <f t="shared" si="18"/>
        <v>0</v>
      </c>
      <c r="AF81" s="229">
        <f t="shared" si="18"/>
        <v>0</v>
      </c>
      <c r="AG81" s="229">
        <f t="shared" si="18"/>
        <v>0</v>
      </c>
    </row>
    <row r="82" spans="1:33" s="123" customFormat="1" x14ac:dyDescent="0.2">
      <c r="A82" s="170" t="s">
        <v>391</v>
      </c>
      <c r="B82" s="230">
        <f>'6.2. Паспорт фин осв ввод'!H30*-1*1000*1000</f>
        <v>-5884339.46</v>
      </c>
      <c r="C82" s="230">
        <f>'6.2. Паспорт фин осв ввод'!L30*-1*1000*1000</f>
        <v>-3964568.49</v>
      </c>
      <c r="D82" s="230">
        <f>'6.2. Паспорт фин осв ввод'!R24*-1*1000*1000</f>
        <v>0</v>
      </c>
      <c r="E82" s="230">
        <f>'6.2. Паспорт фин осв ввод'!V24*-1*1000*1000</f>
        <v>0</v>
      </c>
      <c r="F82" s="235"/>
      <c r="G82" s="235"/>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row>
    <row r="83" spans="1:33" s="123" customFormat="1" x14ac:dyDescent="0.2">
      <c r="A83" s="170" t="s">
        <v>214</v>
      </c>
      <c r="B83" s="230">
        <v>0</v>
      </c>
      <c r="C83" s="230">
        <v>0</v>
      </c>
      <c r="D83" s="230">
        <v>0</v>
      </c>
      <c r="E83" s="230">
        <v>0</v>
      </c>
      <c r="F83" s="236">
        <v>0</v>
      </c>
      <c r="G83" s="236">
        <v>0</v>
      </c>
      <c r="H83" s="236">
        <v>0</v>
      </c>
      <c r="I83" s="236">
        <v>0</v>
      </c>
      <c r="J83" s="236">
        <v>0</v>
      </c>
      <c r="K83" s="236">
        <v>0</v>
      </c>
      <c r="L83" s="236">
        <v>0</v>
      </c>
      <c r="M83" s="236">
        <v>0</v>
      </c>
      <c r="N83" s="236">
        <v>0</v>
      </c>
      <c r="O83" s="236">
        <v>0</v>
      </c>
      <c r="P83" s="236">
        <v>0</v>
      </c>
      <c r="Q83" s="236">
        <v>0</v>
      </c>
      <c r="R83" s="236">
        <v>0</v>
      </c>
      <c r="S83" s="236">
        <v>0</v>
      </c>
      <c r="T83" s="236">
        <v>0</v>
      </c>
      <c r="U83" s="236">
        <v>0</v>
      </c>
      <c r="V83" s="236">
        <v>0</v>
      </c>
      <c r="W83" s="236">
        <v>0</v>
      </c>
      <c r="X83" s="236">
        <v>0</v>
      </c>
      <c r="Y83" s="236">
        <v>0</v>
      </c>
      <c r="Z83" s="236">
        <v>0</v>
      </c>
      <c r="AA83" s="236">
        <v>0</v>
      </c>
      <c r="AB83" s="236">
        <v>0</v>
      </c>
      <c r="AC83" s="236">
        <v>0</v>
      </c>
      <c r="AD83" s="236">
        <v>0</v>
      </c>
      <c r="AE83" s="236">
        <v>0</v>
      </c>
      <c r="AF83" s="236">
        <v>0</v>
      </c>
      <c r="AG83" s="236">
        <v>0</v>
      </c>
    </row>
    <row r="84" spans="1:33" s="123" customFormat="1" ht="14.25" x14ac:dyDescent="0.2">
      <c r="A84" s="171" t="s">
        <v>213</v>
      </c>
      <c r="B84" s="232">
        <f>SUM(B76:B83)</f>
        <v>-7061207.352</v>
      </c>
      <c r="C84" s="232">
        <f t="shared" ref="C84:AG84" si="19">SUM(C76:C83)</f>
        <v>-4757482.1880000001</v>
      </c>
      <c r="D84" s="232">
        <f t="shared" si="19"/>
        <v>0</v>
      </c>
      <c r="E84" s="232">
        <f t="shared" si="19"/>
        <v>0</v>
      </c>
      <c r="F84" s="232">
        <f t="shared" si="19"/>
        <v>0</v>
      </c>
      <c r="G84" s="232">
        <f t="shared" si="19"/>
        <v>0</v>
      </c>
      <c r="H84" s="232">
        <f t="shared" si="19"/>
        <v>0</v>
      </c>
      <c r="I84" s="232">
        <f t="shared" si="19"/>
        <v>0</v>
      </c>
      <c r="J84" s="232">
        <f t="shared" si="19"/>
        <v>0</v>
      </c>
      <c r="K84" s="232">
        <f t="shared" si="19"/>
        <v>0</v>
      </c>
      <c r="L84" s="232">
        <f t="shared" si="19"/>
        <v>0</v>
      </c>
      <c r="M84" s="232">
        <f t="shared" si="19"/>
        <v>0</v>
      </c>
      <c r="N84" s="232">
        <f t="shared" si="19"/>
        <v>0</v>
      </c>
      <c r="O84" s="232">
        <f t="shared" si="19"/>
        <v>0</v>
      </c>
      <c r="P84" s="232">
        <f t="shared" si="19"/>
        <v>0</v>
      </c>
      <c r="Q84" s="232">
        <f t="shared" si="19"/>
        <v>0</v>
      </c>
      <c r="R84" s="232">
        <f t="shared" si="19"/>
        <v>0</v>
      </c>
      <c r="S84" s="232">
        <f t="shared" si="19"/>
        <v>0</v>
      </c>
      <c r="T84" s="232">
        <f t="shared" si="19"/>
        <v>0</v>
      </c>
      <c r="U84" s="232">
        <f t="shared" si="19"/>
        <v>0</v>
      </c>
      <c r="V84" s="232">
        <f t="shared" si="19"/>
        <v>0</v>
      </c>
      <c r="W84" s="232">
        <f t="shared" si="19"/>
        <v>0</v>
      </c>
      <c r="X84" s="232">
        <f t="shared" si="19"/>
        <v>0</v>
      </c>
      <c r="Y84" s="232">
        <f t="shared" si="19"/>
        <v>0</v>
      </c>
      <c r="Z84" s="232">
        <f t="shared" si="19"/>
        <v>0</v>
      </c>
      <c r="AA84" s="232">
        <f t="shared" si="19"/>
        <v>0</v>
      </c>
      <c r="AB84" s="232">
        <f t="shared" si="19"/>
        <v>0</v>
      </c>
      <c r="AC84" s="232">
        <f t="shared" si="19"/>
        <v>0</v>
      </c>
      <c r="AD84" s="232">
        <f t="shared" si="19"/>
        <v>0</v>
      </c>
      <c r="AE84" s="232">
        <f t="shared" si="19"/>
        <v>0</v>
      </c>
      <c r="AF84" s="232">
        <f t="shared" si="19"/>
        <v>0</v>
      </c>
      <c r="AG84" s="232">
        <f t="shared" si="19"/>
        <v>0</v>
      </c>
    </row>
    <row r="85" spans="1:33" s="123" customFormat="1" ht="14.25" x14ac:dyDescent="0.2">
      <c r="A85" s="171" t="s">
        <v>392</v>
      </c>
      <c r="B85" s="232">
        <f>SUM($B$84:B84)</f>
        <v>-7061207.352</v>
      </c>
      <c r="C85" s="232">
        <f>SUM($B$84:C84)</f>
        <v>-11818689.539999999</v>
      </c>
      <c r="D85" s="232">
        <f>SUM($B$84:D84)</f>
        <v>-11818689.539999999</v>
      </c>
      <c r="E85" s="232">
        <f>SUM($B$84:E84)</f>
        <v>-11818689.539999999</v>
      </c>
      <c r="F85" s="232">
        <f>SUM($B$84:F84)</f>
        <v>-11818689.539999999</v>
      </c>
      <c r="G85" s="232">
        <f>SUM($B$84:G84)</f>
        <v>-11818689.539999999</v>
      </c>
      <c r="H85" s="232">
        <f>SUM($B$84:H84)</f>
        <v>-11818689.539999999</v>
      </c>
      <c r="I85" s="232">
        <f>SUM($B$84:I84)</f>
        <v>-11818689.539999999</v>
      </c>
      <c r="J85" s="232">
        <f>SUM($B$84:J84)</f>
        <v>-11818689.539999999</v>
      </c>
      <c r="K85" s="232">
        <f>SUM($B$84:K84)</f>
        <v>-11818689.539999999</v>
      </c>
      <c r="L85" s="232">
        <f>SUM($B$84:L84)</f>
        <v>-11818689.539999999</v>
      </c>
      <c r="M85" s="232">
        <f>SUM($B$84:M84)</f>
        <v>-11818689.539999999</v>
      </c>
      <c r="N85" s="232">
        <f>SUM($B$84:N84)</f>
        <v>-11818689.539999999</v>
      </c>
      <c r="O85" s="232">
        <f>SUM($B$84:O84)</f>
        <v>-11818689.539999999</v>
      </c>
      <c r="P85" s="232">
        <f>SUM($B$84:P84)</f>
        <v>-11818689.539999999</v>
      </c>
      <c r="Q85" s="232">
        <f>SUM($B$84:Q84)</f>
        <v>-11818689.539999999</v>
      </c>
      <c r="R85" s="232">
        <f>SUM($B$84:R84)</f>
        <v>-11818689.539999999</v>
      </c>
      <c r="S85" s="232">
        <f>SUM($B$84:S84)</f>
        <v>-11818689.539999999</v>
      </c>
      <c r="T85" s="232">
        <f>SUM($B$84:T84)</f>
        <v>-11818689.539999999</v>
      </c>
      <c r="U85" s="232">
        <f>SUM($B$84:U84)</f>
        <v>-11818689.539999999</v>
      </c>
      <c r="V85" s="232">
        <f>SUM($B$84:V84)</f>
        <v>-11818689.539999999</v>
      </c>
      <c r="W85" s="232">
        <f>SUM($B$84:W84)</f>
        <v>-11818689.539999999</v>
      </c>
      <c r="X85" s="232">
        <f>SUM($B$84:X84)</f>
        <v>-11818689.539999999</v>
      </c>
      <c r="Y85" s="232">
        <f>SUM($B$84:Y84)</f>
        <v>-11818689.539999999</v>
      </c>
      <c r="Z85" s="232">
        <f>SUM($B$84:Z84)</f>
        <v>-11818689.539999999</v>
      </c>
      <c r="AA85" s="232">
        <f>SUM($B$84:AA84)</f>
        <v>-11818689.539999999</v>
      </c>
      <c r="AB85" s="232">
        <f>SUM($B$84:AB84)</f>
        <v>-11818689.539999999</v>
      </c>
      <c r="AC85" s="232">
        <f>SUM($B$84:AC84)</f>
        <v>-11818689.539999999</v>
      </c>
      <c r="AD85" s="232">
        <f>SUM($B$84:AD84)</f>
        <v>-11818689.539999999</v>
      </c>
      <c r="AE85" s="232">
        <f>SUM($B$84:AE84)</f>
        <v>-11818689.539999999</v>
      </c>
      <c r="AF85" s="232">
        <f>SUM($B$84:AF84)</f>
        <v>-11818689.539999999</v>
      </c>
      <c r="AG85" s="232">
        <f>SUM($B$84:AG84)</f>
        <v>-11818689.539999999</v>
      </c>
    </row>
    <row r="86" spans="1:33" s="123" customFormat="1" x14ac:dyDescent="0.25">
      <c r="A86" s="174" t="s">
        <v>393</v>
      </c>
      <c r="B86" s="237">
        <f>1/POWER((1+$B$44),B74)</f>
        <v>0.94072086838359736</v>
      </c>
      <c r="C86" s="237">
        <f t="shared" ref="C86:AG86" si="20">1/POWER((1+$B$44),C74)</f>
        <v>0.83249634370229864</v>
      </c>
      <c r="D86" s="237">
        <f t="shared" si="20"/>
        <v>0.73672242805513155</v>
      </c>
      <c r="E86" s="237">
        <f t="shared" si="20"/>
        <v>0.65196675049126696</v>
      </c>
      <c r="F86" s="237">
        <f t="shared" si="20"/>
        <v>0.57696172609846641</v>
      </c>
      <c r="G86" s="237">
        <f t="shared" si="20"/>
        <v>0.51058559831722694</v>
      </c>
      <c r="H86" s="237">
        <f t="shared" si="20"/>
        <v>0.45184566222763445</v>
      </c>
      <c r="I86" s="237">
        <f t="shared" si="20"/>
        <v>0.39986341790056151</v>
      </c>
      <c r="J86" s="237">
        <f t="shared" si="20"/>
        <v>0.35386143177040841</v>
      </c>
      <c r="K86" s="237">
        <f t="shared" si="20"/>
        <v>0.31315170953133498</v>
      </c>
      <c r="L86" s="237">
        <f t="shared" si="20"/>
        <v>0.27712540666489821</v>
      </c>
      <c r="M86" s="237">
        <f t="shared" si="20"/>
        <v>0.24524372271229933</v>
      </c>
      <c r="N86" s="237">
        <f t="shared" si="20"/>
        <v>0.21702984310822954</v>
      </c>
      <c r="O86" s="237">
        <f t="shared" si="20"/>
        <v>0.19206180806038009</v>
      </c>
      <c r="P86" s="237">
        <f t="shared" si="20"/>
        <v>0.16996620182334526</v>
      </c>
      <c r="Q86" s="237">
        <f t="shared" si="20"/>
        <v>0.15041256798526129</v>
      </c>
      <c r="R86" s="237">
        <f t="shared" si="20"/>
        <v>0.13310846724359404</v>
      </c>
      <c r="S86" s="237">
        <f t="shared" si="20"/>
        <v>0.11779510375539298</v>
      </c>
      <c r="T86" s="237">
        <f t="shared" si="20"/>
        <v>0.10424345465079028</v>
      </c>
      <c r="U86" s="237">
        <f t="shared" si="20"/>
        <v>9.2250844823708225E-2</v>
      </c>
      <c r="V86" s="237">
        <f t="shared" si="20"/>
        <v>8.163791577319314E-2</v>
      </c>
      <c r="W86" s="237">
        <f t="shared" si="20"/>
        <v>7.2245943162117798E-2</v>
      </c>
      <c r="X86" s="237">
        <f t="shared" si="20"/>
        <v>6.3934462975325498E-2</v>
      </c>
      <c r="Y86" s="237">
        <f t="shared" si="20"/>
        <v>5.6579170774624342E-2</v>
      </c>
      <c r="Z86" s="237">
        <f t="shared" si="20"/>
        <v>5.0070062632410935E-2</v>
      </c>
      <c r="AA86" s="237">
        <f t="shared" si="20"/>
        <v>4.4309789940186653E-2</v>
      </c>
      <c r="AB86" s="237">
        <f t="shared" si="20"/>
        <v>3.9212203486890855E-2</v>
      </c>
      <c r="AC86" s="237">
        <f t="shared" si="20"/>
        <v>3.4701065032646777E-2</v>
      </c>
      <c r="AD86" s="237">
        <f t="shared" si="20"/>
        <v>3.0708907108536979E-2</v>
      </c>
      <c r="AE86" s="237">
        <f t="shared" si="20"/>
        <v>2.7176023989855736E-2</v>
      </c>
      <c r="AF86" s="237">
        <f t="shared" si="20"/>
        <v>2.4049578752084716E-2</v>
      </c>
      <c r="AG86" s="237">
        <f t="shared" si="20"/>
        <v>2.1282813054942232E-2</v>
      </c>
    </row>
    <row r="87" spans="1:33" s="123" customFormat="1" ht="14.25" x14ac:dyDescent="0.2">
      <c r="A87" s="169" t="s">
        <v>394</v>
      </c>
      <c r="B87" s="232">
        <f t="shared" ref="B87:AG87" si="21">B84*B86</f>
        <v>-6642625.1120100822</v>
      </c>
      <c r="C87" s="232">
        <f t="shared" si="21"/>
        <v>-3960586.5267388117</v>
      </c>
      <c r="D87" s="232">
        <f t="shared" si="21"/>
        <v>0</v>
      </c>
      <c r="E87" s="232">
        <f t="shared" si="21"/>
        <v>0</v>
      </c>
      <c r="F87" s="232">
        <f t="shared" si="21"/>
        <v>0</v>
      </c>
      <c r="G87" s="232">
        <f t="shared" si="21"/>
        <v>0</v>
      </c>
      <c r="H87" s="232">
        <f t="shared" si="21"/>
        <v>0</v>
      </c>
      <c r="I87" s="232">
        <f t="shared" si="21"/>
        <v>0</v>
      </c>
      <c r="J87" s="232">
        <f t="shared" si="21"/>
        <v>0</v>
      </c>
      <c r="K87" s="232">
        <f t="shared" si="21"/>
        <v>0</v>
      </c>
      <c r="L87" s="232">
        <f t="shared" si="21"/>
        <v>0</v>
      </c>
      <c r="M87" s="232">
        <f t="shared" si="21"/>
        <v>0</v>
      </c>
      <c r="N87" s="232">
        <f t="shared" si="21"/>
        <v>0</v>
      </c>
      <c r="O87" s="232">
        <f t="shared" si="21"/>
        <v>0</v>
      </c>
      <c r="P87" s="232">
        <f t="shared" si="21"/>
        <v>0</v>
      </c>
      <c r="Q87" s="232">
        <f t="shared" si="21"/>
        <v>0</v>
      </c>
      <c r="R87" s="232">
        <f t="shared" si="21"/>
        <v>0</v>
      </c>
      <c r="S87" s="232">
        <f t="shared" si="21"/>
        <v>0</v>
      </c>
      <c r="T87" s="232">
        <f t="shared" si="21"/>
        <v>0</v>
      </c>
      <c r="U87" s="232">
        <f t="shared" si="21"/>
        <v>0</v>
      </c>
      <c r="V87" s="232">
        <f t="shared" si="21"/>
        <v>0</v>
      </c>
      <c r="W87" s="232">
        <f t="shared" si="21"/>
        <v>0</v>
      </c>
      <c r="X87" s="232">
        <f t="shared" si="21"/>
        <v>0</v>
      </c>
      <c r="Y87" s="232">
        <f t="shared" si="21"/>
        <v>0</v>
      </c>
      <c r="Z87" s="232">
        <f t="shared" si="21"/>
        <v>0</v>
      </c>
      <c r="AA87" s="232">
        <f t="shared" si="21"/>
        <v>0</v>
      </c>
      <c r="AB87" s="232">
        <f t="shared" si="21"/>
        <v>0</v>
      </c>
      <c r="AC87" s="232">
        <f t="shared" si="21"/>
        <v>0</v>
      </c>
      <c r="AD87" s="232">
        <f t="shared" si="21"/>
        <v>0</v>
      </c>
      <c r="AE87" s="232">
        <f t="shared" si="21"/>
        <v>0</v>
      </c>
      <c r="AF87" s="232">
        <f t="shared" si="21"/>
        <v>0</v>
      </c>
      <c r="AG87" s="232">
        <f t="shared" si="21"/>
        <v>0</v>
      </c>
    </row>
    <row r="88" spans="1:33" s="123" customFormat="1" ht="14.25" x14ac:dyDescent="0.2">
      <c r="A88" s="169" t="s">
        <v>395</v>
      </c>
      <c r="B88" s="232">
        <f>SUM($B$87:B87)</f>
        <v>-6642625.1120100822</v>
      </c>
      <c r="C88" s="232">
        <f>SUM($B$87:C87)</f>
        <v>-10603211.638748894</v>
      </c>
      <c r="D88" s="232">
        <f>SUM($B$87:D87)</f>
        <v>-10603211.638748894</v>
      </c>
      <c r="E88" s="232">
        <f>SUM($B$87:E87)</f>
        <v>-10603211.638748894</v>
      </c>
      <c r="F88" s="232">
        <f>SUM($B$87:F87)</f>
        <v>-10603211.638748894</v>
      </c>
      <c r="G88" s="232">
        <f>SUM($B$87:G87)</f>
        <v>-10603211.638748894</v>
      </c>
      <c r="H88" s="232">
        <f>SUM($B$87:H87)</f>
        <v>-10603211.638748894</v>
      </c>
      <c r="I88" s="232">
        <f>SUM($B$87:I87)</f>
        <v>-10603211.638748894</v>
      </c>
      <c r="J88" s="232">
        <f>SUM($B$87:J87)</f>
        <v>-10603211.638748894</v>
      </c>
      <c r="K88" s="232">
        <f>SUM($B$87:K87)</f>
        <v>-10603211.638748894</v>
      </c>
      <c r="L88" s="232">
        <f>SUM($B$87:L87)</f>
        <v>-10603211.638748894</v>
      </c>
      <c r="M88" s="232">
        <f>SUM($B$87:M87)</f>
        <v>-10603211.638748894</v>
      </c>
      <c r="N88" s="232">
        <f>SUM($B$87:N87)</f>
        <v>-10603211.638748894</v>
      </c>
      <c r="O88" s="232">
        <f>SUM($B$87:O87)</f>
        <v>-10603211.638748894</v>
      </c>
      <c r="P88" s="232">
        <f>SUM($B$87:P87)</f>
        <v>-10603211.638748894</v>
      </c>
      <c r="Q88" s="232">
        <f>SUM($B$87:Q87)</f>
        <v>-10603211.638748894</v>
      </c>
      <c r="R88" s="232">
        <f>SUM($B$87:R87)</f>
        <v>-10603211.638748894</v>
      </c>
      <c r="S88" s="232">
        <f>SUM($B$87:S87)</f>
        <v>-10603211.638748894</v>
      </c>
      <c r="T88" s="232">
        <f>SUM($B$87:T87)</f>
        <v>-10603211.638748894</v>
      </c>
      <c r="U88" s="232">
        <f>SUM($B$87:U87)</f>
        <v>-10603211.638748894</v>
      </c>
      <c r="V88" s="232">
        <f>SUM($B$87:V87)</f>
        <v>-10603211.638748894</v>
      </c>
      <c r="W88" s="232">
        <f>SUM($B$87:W87)</f>
        <v>-10603211.638748894</v>
      </c>
      <c r="X88" s="232">
        <f>SUM($B$87:X87)</f>
        <v>-10603211.638748894</v>
      </c>
      <c r="Y88" s="232">
        <f>SUM($B$87:Y87)</f>
        <v>-10603211.638748894</v>
      </c>
      <c r="Z88" s="232">
        <f>SUM($B$87:Z87)</f>
        <v>-10603211.638748894</v>
      </c>
      <c r="AA88" s="232">
        <f>SUM($B$87:AA87)</f>
        <v>-10603211.638748894</v>
      </c>
      <c r="AB88" s="232">
        <f>SUM($B$87:AB87)</f>
        <v>-10603211.638748894</v>
      </c>
      <c r="AC88" s="232">
        <f>SUM($B$87:AC87)</f>
        <v>-10603211.638748894</v>
      </c>
      <c r="AD88" s="232">
        <f>SUM($B$87:AD87)</f>
        <v>-10603211.638748894</v>
      </c>
      <c r="AE88" s="232">
        <f>SUM($B$87:AE87)</f>
        <v>-10603211.638748894</v>
      </c>
      <c r="AF88" s="232">
        <f>SUM($B$87:AF87)</f>
        <v>-10603211.638748894</v>
      </c>
      <c r="AG88" s="232">
        <f>SUM($B$87:AG87)</f>
        <v>-10603211.638748894</v>
      </c>
    </row>
    <row r="89" spans="1:33" s="123" customFormat="1" ht="14.25" x14ac:dyDescent="0.2">
      <c r="A89" s="169" t="s">
        <v>396</v>
      </c>
      <c r="B89" s="238">
        <f>IF((ISERR(IRR($B$84:B84))),0,IF(IRR($B$84:B84)&lt;0,0,IRR($B$84:B84)))</f>
        <v>0</v>
      </c>
      <c r="C89" s="238">
        <f>IF((ISERR(IRR($B$84:C84))),0,IF(IRR($B$84:C84)&lt;0,0,IRR($B$84:C84)))</f>
        <v>0</v>
      </c>
      <c r="D89" s="238">
        <f>IF((ISERR(IRR($B$84:D84))),0,IF(IRR($B$84:D84)&lt;0,0,IRR($B$84:D84)))</f>
        <v>0</v>
      </c>
      <c r="E89" s="238">
        <f>IF((ISERR(IRR($B$84:E84))),0,IF(IRR($B$84:E84)&lt;0,0,IRR($B$84:E84)))</f>
        <v>0</v>
      </c>
      <c r="F89" s="238">
        <f>IF((ISERR(IRR($B$84:F84))),0,IF(IRR($B$84:F84)&lt;0,0,IRR($B$84:F84)))</f>
        <v>0</v>
      </c>
      <c r="G89" s="238">
        <f>IF((ISERR(IRR($B$84:G84))),0,IF(IRR($B$84:G84)&lt;0,0,IRR($B$84:G84)))</f>
        <v>0</v>
      </c>
      <c r="H89" s="238">
        <f>IF((ISERR(IRR($B$84:H84))),0,IF(IRR($B$84:H84)&lt;0,0,IRR($B$84:H84)))</f>
        <v>0</v>
      </c>
      <c r="I89" s="238">
        <f>IF((ISERR(IRR($B$84:I84))),0,IF(IRR($B$84:I84)&lt;0,0,IRR($B$84:I84)))</f>
        <v>0</v>
      </c>
      <c r="J89" s="238">
        <f>IF((ISERR(IRR($B$84:J84))),0,IF(IRR($B$84:J84)&lt;0,0,IRR($B$84:J84)))</f>
        <v>0</v>
      </c>
      <c r="K89" s="238">
        <f>IF((ISERR(IRR($B$84:K84))),0,IF(IRR($B$84:K84)&lt;0,0,IRR($B$84:K84)))</f>
        <v>0</v>
      </c>
      <c r="L89" s="238">
        <f>IF((ISERR(IRR($B$84:L84))),0,IF(IRR($B$84:L84)&lt;0,0,IRR($B$84:L84)))</f>
        <v>0</v>
      </c>
      <c r="M89" s="238">
        <f>IF((ISERR(IRR($B$84:M84))),0,IF(IRR($B$84:M84)&lt;0,0,IRR($B$84:M84)))</f>
        <v>0</v>
      </c>
      <c r="N89" s="238">
        <f>IF((ISERR(IRR($B$84:N84))),0,IF(IRR($B$84:N84)&lt;0,0,IRR($B$84:N84)))</f>
        <v>0</v>
      </c>
      <c r="O89" s="238">
        <f>IF((ISERR(IRR($B$84:O84))),0,IF(IRR($B$84:O84)&lt;0,0,IRR($B$84:O84)))</f>
        <v>0</v>
      </c>
      <c r="P89" s="238">
        <f>IF((ISERR(IRR($B$84:P84))),0,IF(IRR($B$84:P84)&lt;0,0,IRR($B$84:P84)))</f>
        <v>0</v>
      </c>
      <c r="Q89" s="238">
        <f>IF((ISERR(IRR($B$84:Q84))),0,IF(IRR($B$84:Q84)&lt;0,0,IRR($B$84:Q84)))</f>
        <v>0</v>
      </c>
      <c r="R89" s="238">
        <f>IF((ISERR(IRR($B$84:R84))),0,IF(IRR($B$84:R84)&lt;0,0,IRR($B$84:R84)))</f>
        <v>0</v>
      </c>
      <c r="S89" s="238">
        <f>IF((ISERR(IRR($B$84:S84))),0,IF(IRR($B$84:S84)&lt;0,0,IRR($B$84:S84)))</f>
        <v>0</v>
      </c>
      <c r="T89" s="238">
        <f>IF((ISERR(IRR($B$84:T84))),0,IF(IRR($B$84:T84)&lt;0,0,IRR($B$84:T84)))</f>
        <v>0</v>
      </c>
      <c r="U89" s="238">
        <f>IF((ISERR(IRR($B$84:U84))),0,IF(IRR($B$84:U84)&lt;0,0,IRR($B$84:U84)))</f>
        <v>0</v>
      </c>
      <c r="V89" s="238">
        <f>IF((ISERR(IRR($B$84:V84))),0,IF(IRR($B$84:V84)&lt;0,0,IRR($B$84:V84)))</f>
        <v>0</v>
      </c>
      <c r="W89" s="238">
        <f>IF((ISERR(IRR($B$84:W84))),0,IF(IRR($B$84:W84)&lt;0,0,IRR($B$84:W84)))</f>
        <v>0</v>
      </c>
      <c r="X89" s="238">
        <f>IF((ISERR(IRR($B$84:X84))),0,IF(IRR($B$84:X84)&lt;0,0,IRR($B$84:X84)))</f>
        <v>0</v>
      </c>
      <c r="Y89" s="238">
        <f>IF((ISERR(IRR($B$84:Y84))),0,IF(IRR($B$84:Y84)&lt;0,0,IRR($B$84:Y84)))</f>
        <v>0</v>
      </c>
      <c r="Z89" s="238">
        <f>IF((ISERR(IRR($B$84:Z84))),0,IF(IRR($B$84:Z84)&lt;0,0,IRR($B$84:Z84)))</f>
        <v>0</v>
      </c>
      <c r="AA89" s="238">
        <f>IF((ISERR(IRR($B$84:AA84))),0,IF(IRR($B$84:AA84)&lt;0,0,IRR($B$84:AA84)))</f>
        <v>0</v>
      </c>
      <c r="AB89" s="238">
        <f>IF((ISERR(IRR($B$84:AB84))),0,IF(IRR($B$84:AB84)&lt;0,0,IRR($B$84:AB84)))</f>
        <v>0</v>
      </c>
      <c r="AC89" s="238">
        <f>IF((ISERR(IRR($B$84:AC84))),0,IF(IRR($B$84:AC84)&lt;0,0,IRR($B$84:AC84)))</f>
        <v>0</v>
      </c>
      <c r="AD89" s="238">
        <f>IF((ISERR(IRR($B$84:AD84))),0,IF(IRR($B$84:AD84)&lt;0,0,IRR($B$84:AD84)))</f>
        <v>0</v>
      </c>
      <c r="AE89" s="238">
        <f>IF((ISERR(IRR($B$84:AE84))),0,IF(IRR($B$84:AE84)&lt;0,0,IRR($B$84:AE84)))</f>
        <v>0</v>
      </c>
      <c r="AF89" s="238">
        <f>IF((ISERR(IRR($B$84:AF84))),0,IF(IRR($B$84:AF84)&lt;0,0,IRR($B$84:AF84)))</f>
        <v>0</v>
      </c>
      <c r="AG89" s="238">
        <f>IF((ISERR(IRR($B$84:AG84))),0,IF(IRR($B$84:AG84)&lt;0,0,IRR($B$84:AG84)))</f>
        <v>0</v>
      </c>
    </row>
    <row r="90" spans="1:33" s="123" customFormat="1" ht="14.25" x14ac:dyDescent="0.2">
      <c r="A90" s="169" t="s">
        <v>397</v>
      </c>
      <c r="B90" s="239">
        <f t="shared" ref="B90:AG90" si="22">IF(AND(B85&gt;0,A85&lt;0),(B75-(B85/(B85-A85))),0)</f>
        <v>0</v>
      </c>
      <c r="C90" s="239">
        <f t="shared" si="22"/>
        <v>0</v>
      </c>
      <c r="D90" s="239">
        <f t="shared" si="22"/>
        <v>0</v>
      </c>
      <c r="E90" s="239">
        <f t="shared" si="22"/>
        <v>0</v>
      </c>
      <c r="F90" s="239">
        <f t="shared" si="22"/>
        <v>0</v>
      </c>
      <c r="G90" s="239">
        <f t="shared" si="22"/>
        <v>0</v>
      </c>
      <c r="H90" s="239">
        <f t="shared" si="22"/>
        <v>0</v>
      </c>
      <c r="I90" s="239">
        <f t="shared" si="22"/>
        <v>0</v>
      </c>
      <c r="J90" s="239">
        <f t="shared" si="22"/>
        <v>0</v>
      </c>
      <c r="K90" s="239">
        <f t="shared" si="22"/>
        <v>0</v>
      </c>
      <c r="L90" s="239">
        <f t="shared" si="22"/>
        <v>0</v>
      </c>
      <c r="M90" s="239">
        <f t="shared" si="22"/>
        <v>0</v>
      </c>
      <c r="N90" s="239">
        <f t="shared" si="22"/>
        <v>0</v>
      </c>
      <c r="O90" s="239">
        <f t="shared" si="22"/>
        <v>0</v>
      </c>
      <c r="P90" s="239">
        <f t="shared" si="22"/>
        <v>0</v>
      </c>
      <c r="Q90" s="239">
        <f t="shared" si="22"/>
        <v>0</v>
      </c>
      <c r="R90" s="239">
        <f t="shared" si="22"/>
        <v>0</v>
      </c>
      <c r="S90" s="239">
        <f t="shared" si="22"/>
        <v>0</v>
      </c>
      <c r="T90" s="239">
        <f t="shared" si="22"/>
        <v>0</v>
      </c>
      <c r="U90" s="239">
        <f t="shared" si="22"/>
        <v>0</v>
      </c>
      <c r="V90" s="239">
        <f t="shared" si="22"/>
        <v>0</v>
      </c>
      <c r="W90" s="239">
        <f t="shared" si="22"/>
        <v>0</v>
      </c>
      <c r="X90" s="239">
        <f t="shared" si="22"/>
        <v>0</v>
      </c>
      <c r="Y90" s="239">
        <f t="shared" si="22"/>
        <v>0</v>
      </c>
      <c r="Z90" s="239">
        <f t="shared" si="22"/>
        <v>0</v>
      </c>
      <c r="AA90" s="239">
        <f t="shared" si="22"/>
        <v>0</v>
      </c>
      <c r="AB90" s="239">
        <f t="shared" si="22"/>
        <v>0</v>
      </c>
      <c r="AC90" s="239">
        <f t="shared" si="22"/>
        <v>0</v>
      </c>
      <c r="AD90" s="239">
        <f t="shared" si="22"/>
        <v>0</v>
      </c>
      <c r="AE90" s="239">
        <f t="shared" si="22"/>
        <v>0</v>
      </c>
      <c r="AF90" s="239">
        <f t="shared" si="22"/>
        <v>0</v>
      </c>
      <c r="AG90" s="239">
        <f t="shared" si="22"/>
        <v>0</v>
      </c>
    </row>
    <row r="91" spans="1:33" s="123" customFormat="1" ht="15" thickBot="1" x14ac:dyDescent="0.25">
      <c r="A91" s="175" t="s">
        <v>398</v>
      </c>
      <c r="B91" s="240">
        <f t="shared" ref="B91:AG91" si="23">IF(AND(B88&gt;0,A88&lt;0),(B75-(B88/(B88-A88))),0)</f>
        <v>0</v>
      </c>
      <c r="C91" s="240">
        <f t="shared" si="23"/>
        <v>0</v>
      </c>
      <c r="D91" s="240">
        <f t="shared" si="23"/>
        <v>0</v>
      </c>
      <c r="E91" s="240">
        <f t="shared" si="23"/>
        <v>0</v>
      </c>
      <c r="F91" s="240">
        <f t="shared" si="23"/>
        <v>0</v>
      </c>
      <c r="G91" s="240">
        <f t="shared" si="23"/>
        <v>0</v>
      </c>
      <c r="H91" s="240">
        <f t="shared" si="23"/>
        <v>0</v>
      </c>
      <c r="I91" s="240">
        <f t="shared" si="23"/>
        <v>0</v>
      </c>
      <c r="J91" s="240">
        <f t="shared" si="23"/>
        <v>0</v>
      </c>
      <c r="K91" s="240">
        <f t="shared" si="23"/>
        <v>0</v>
      </c>
      <c r="L91" s="240">
        <f t="shared" si="23"/>
        <v>0</v>
      </c>
      <c r="M91" s="240">
        <f t="shared" si="23"/>
        <v>0</v>
      </c>
      <c r="N91" s="240">
        <f t="shared" si="23"/>
        <v>0</v>
      </c>
      <c r="O91" s="240">
        <f t="shared" si="23"/>
        <v>0</v>
      </c>
      <c r="P91" s="240">
        <f t="shared" si="23"/>
        <v>0</v>
      </c>
      <c r="Q91" s="240">
        <f t="shared" si="23"/>
        <v>0</v>
      </c>
      <c r="R91" s="240">
        <f t="shared" si="23"/>
        <v>0</v>
      </c>
      <c r="S91" s="240">
        <f t="shared" si="23"/>
        <v>0</v>
      </c>
      <c r="T91" s="240">
        <f t="shared" si="23"/>
        <v>0</v>
      </c>
      <c r="U91" s="240">
        <f t="shared" si="23"/>
        <v>0</v>
      </c>
      <c r="V91" s="240">
        <f t="shared" si="23"/>
        <v>0</v>
      </c>
      <c r="W91" s="240">
        <f t="shared" si="23"/>
        <v>0</v>
      </c>
      <c r="X91" s="240">
        <f t="shared" si="23"/>
        <v>0</v>
      </c>
      <c r="Y91" s="240">
        <f t="shared" si="23"/>
        <v>0</v>
      </c>
      <c r="Z91" s="240">
        <f t="shared" si="23"/>
        <v>0</v>
      </c>
      <c r="AA91" s="240">
        <f t="shared" si="23"/>
        <v>0</v>
      </c>
      <c r="AB91" s="240">
        <f t="shared" si="23"/>
        <v>0</v>
      </c>
      <c r="AC91" s="240">
        <f t="shared" si="23"/>
        <v>0</v>
      </c>
      <c r="AD91" s="240">
        <f t="shared" si="23"/>
        <v>0</v>
      </c>
      <c r="AE91" s="240">
        <f t="shared" si="23"/>
        <v>0</v>
      </c>
      <c r="AF91" s="240">
        <f t="shared" si="23"/>
        <v>0</v>
      </c>
      <c r="AG91" s="240">
        <f t="shared" si="23"/>
        <v>0</v>
      </c>
    </row>
    <row r="92" spans="1:33" s="123" customFormat="1" x14ac:dyDescent="0.2">
      <c r="A92" s="176"/>
      <c r="B92" s="176">
        <v>2021</v>
      </c>
      <c r="C92" s="176">
        <f>B92+1</f>
        <v>2022</v>
      </c>
      <c r="D92" s="176">
        <f t="shared" ref="D92:AG92" si="24">C92+1</f>
        <v>2023</v>
      </c>
      <c r="E92" s="176">
        <f t="shared" si="24"/>
        <v>2024</v>
      </c>
      <c r="F92" s="176">
        <f t="shared" si="24"/>
        <v>2025</v>
      </c>
      <c r="G92" s="176">
        <f t="shared" si="24"/>
        <v>2026</v>
      </c>
      <c r="H92" s="176">
        <f t="shared" si="24"/>
        <v>2027</v>
      </c>
      <c r="I92" s="176">
        <f t="shared" si="24"/>
        <v>2028</v>
      </c>
      <c r="J92" s="176">
        <f t="shared" si="24"/>
        <v>2029</v>
      </c>
      <c r="K92" s="176">
        <f t="shared" si="24"/>
        <v>2030</v>
      </c>
      <c r="L92" s="176">
        <f t="shared" si="24"/>
        <v>2031</v>
      </c>
      <c r="M92" s="176">
        <f t="shared" si="24"/>
        <v>2032</v>
      </c>
      <c r="N92" s="176">
        <f t="shared" si="24"/>
        <v>2033</v>
      </c>
      <c r="O92" s="176">
        <f t="shared" si="24"/>
        <v>2034</v>
      </c>
      <c r="P92" s="176">
        <f t="shared" si="24"/>
        <v>2035</v>
      </c>
      <c r="Q92" s="176">
        <f t="shared" si="24"/>
        <v>2036</v>
      </c>
      <c r="R92" s="176">
        <f t="shared" si="24"/>
        <v>2037</v>
      </c>
      <c r="S92" s="176">
        <f t="shared" si="24"/>
        <v>2038</v>
      </c>
      <c r="T92" s="176">
        <f t="shared" si="24"/>
        <v>2039</v>
      </c>
      <c r="U92" s="176">
        <f t="shared" si="24"/>
        <v>2040</v>
      </c>
      <c r="V92" s="176">
        <f t="shared" si="24"/>
        <v>2041</v>
      </c>
      <c r="W92" s="176">
        <f t="shared" si="24"/>
        <v>2042</v>
      </c>
      <c r="X92" s="176">
        <f t="shared" si="24"/>
        <v>2043</v>
      </c>
      <c r="Y92" s="176">
        <f t="shared" si="24"/>
        <v>2044</v>
      </c>
      <c r="Z92" s="176">
        <f t="shared" si="24"/>
        <v>2045</v>
      </c>
      <c r="AA92" s="176">
        <f t="shared" si="24"/>
        <v>2046</v>
      </c>
      <c r="AB92" s="176">
        <f t="shared" si="24"/>
        <v>2047</v>
      </c>
      <c r="AC92" s="176">
        <f t="shared" si="24"/>
        <v>2048</v>
      </c>
      <c r="AD92" s="176">
        <f t="shared" si="24"/>
        <v>2049</v>
      </c>
      <c r="AE92" s="176">
        <f t="shared" si="24"/>
        <v>2050</v>
      </c>
      <c r="AF92" s="176">
        <f t="shared" si="24"/>
        <v>2051</v>
      </c>
      <c r="AG92" s="176">
        <f t="shared" si="24"/>
        <v>2052</v>
      </c>
    </row>
    <row r="93" spans="1:33" s="123" customFormat="1" ht="15.75" customHeight="1" x14ac:dyDescent="0.2">
      <c r="A93" s="364" t="s">
        <v>399</v>
      </c>
      <c r="B93" s="364"/>
      <c r="C93" s="364"/>
      <c r="D93" s="364"/>
      <c r="E93" s="364"/>
      <c r="F93" s="364"/>
      <c r="G93" s="364"/>
      <c r="H93" s="364"/>
      <c r="I93" s="364"/>
      <c r="J93" s="364"/>
      <c r="K93" s="364"/>
      <c r="L93" s="364"/>
      <c r="M93" s="364">
        <v>10</v>
      </c>
      <c r="N93" s="364"/>
      <c r="O93" s="364"/>
      <c r="P93" s="364"/>
      <c r="Q93" s="364"/>
      <c r="R93" s="364"/>
      <c r="S93" s="364"/>
      <c r="T93" s="364"/>
      <c r="U93" s="364"/>
      <c r="V93" s="364"/>
      <c r="W93" s="364"/>
      <c r="X93" s="364"/>
      <c r="Y93" s="364"/>
      <c r="Z93" s="364"/>
      <c r="AA93" s="364"/>
      <c r="AB93" s="364"/>
      <c r="AC93" s="364"/>
      <c r="AE93" s="124"/>
      <c r="AF93" s="124"/>
      <c r="AG93" s="124">
        <v>30</v>
      </c>
    </row>
    <row r="94" spans="1:33" s="123" customFormat="1" ht="63.6" customHeight="1" x14ac:dyDescent="0.2">
      <c r="A94" s="492" t="s">
        <v>400</v>
      </c>
      <c r="B94" s="492"/>
      <c r="C94" s="492"/>
      <c r="D94" s="492"/>
      <c r="E94" s="492"/>
      <c r="F94" s="492"/>
      <c r="G94" s="492"/>
      <c r="H94" s="492"/>
      <c r="I94" s="492"/>
      <c r="J94" s="146"/>
      <c r="K94" s="146"/>
      <c r="L94" s="146"/>
      <c r="M94" s="146"/>
      <c r="N94" s="146"/>
      <c r="O94" s="146"/>
      <c r="P94" s="146"/>
      <c r="Q94" s="146"/>
      <c r="R94" s="146"/>
      <c r="S94" s="146"/>
      <c r="T94" s="146"/>
      <c r="U94" s="146"/>
      <c r="V94" s="146"/>
      <c r="W94" s="146"/>
      <c r="X94" s="146"/>
      <c r="Y94" s="146"/>
      <c r="Z94" s="146"/>
      <c r="AA94" s="146"/>
      <c r="AB94" s="146"/>
      <c r="AC94" s="146"/>
      <c r="AE94" s="124"/>
      <c r="AF94" s="124"/>
      <c r="AG94" s="124"/>
    </row>
    <row r="95" spans="1:33" s="123" customFormat="1" x14ac:dyDescent="0.2">
      <c r="A95" s="118"/>
      <c r="B95" s="118"/>
      <c r="C95" s="125"/>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E95" s="124"/>
      <c r="AF95" s="124"/>
      <c r="AG95" s="124"/>
    </row>
  </sheetData>
  <mergeCells count="14">
    <mergeCell ref="A5:P5"/>
    <mergeCell ref="A7:P7"/>
    <mergeCell ref="A9:P9"/>
    <mergeCell ref="A10:P10"/>
    <mergeCell ref="A12:P12"/>
    <mergeCell ref="A94:I94"/>
    <mergeCell ref="A13:P13"/>
    <mergeCell ref="A15:P15"/>
    <mergeCell ref="A16:P16"/>
    <mergeCell ref="A18:P18"/>
    <mergeCell ref="D28:F28"/>
    <mergeCell ref="D29:F29"/>
    <mergeCell ref="D30:F30"/>
    <mergeCell ref="D31:F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28" zoomScale="80" zoomScaleNormal="100" zoomScaleSheetLayoutView="80" workbookViewId="0">
      <selection activeCell="I26" sqref="I26"/>
    </sheetView>
  </sheetViews>
  <sheetFormatPr defaultColWidth="9.140625" defaultRowHeight="15" x14ac:dyDescent="0.25"/>
  <cols>
    <col min="1" max="1" width="8.28515625" style="127" customWidth="1"/>
    <col min="2" max="2" width="38.85546875" style="127" customWidth="1"/>
    <col min="3" max="4" width="15.7109375" style="126" customWidth="1"/>
    <col min="5" max="6" width="14.140625" style="126" customWidth="1"/>
    <col min="7" max="8" width="15.7109375" style="127" hidden="1" customWidth="1"/>
    <col min="9" max="11" width="14.140625" style="127" customWidth="1"/>
    <col min="12" max="12" width="20.28515625" style="127" customWidth="1"/>
    <col min="13" max="16384" width="9.140625" style="127"/>
  </cols>
  <sheetData>
    <row r="1" spans="1:12" ht="18.75" x14ac:dyDescent="0.25">
      <c r="A1" s="15"/>
      <c r="B1" s="15"/>
      <c r="C1" s="45"/>
      <c r="D1" s="45"/>
      <c r="E1" s="45"/>
      <c r="F1" s="45"/>
      <c r="G1" s="15"/>
      <c r="H1" s="15"/>
      <c r="I1" s="15"/>
      <c r="J1" s="15"/>
      <c r="K1" s="128" t="s">
        <v>65</v>
      </c>
    </row>
    <row r="2" spans="1:12" ht="18.75" x14ac:dyDescent="0.3">
      <c r="A2" s="15"/>
      <c r="B2" s="15"/>
      <c r="C2" s="45"/>
      <c r="D2" s="45"/>
      <c r="E2" s="45"/>
      <c r="F2" s="45"/>
      <c r="G2" s="15"/>
      <c r="H2" s="15"/>
      <c r="I2" s="15"/>
      <c r="J2" s="15"/>
      <c r="K2" s="129" t="s">
        <v>7</v>
      </c>
    </row>
    <row r="3" spans="1:12" ht="18.75" x14ac:dyDescent="0.3">
      <c r="A3" s="15"/>
      <c r="B3" s="15"/>
      <c r="C3" s="45"/>
      <c r="D3" s="45"/>
      <c r="E3" s="45"/>
      <c r="F3" s="45"/>
      <c r="G3" s="15"/>
      <c r="H3" s="15"/>
      <c r="I3" s="15"/>
      <c r="J3" s="15"/>
      <c r="K3" s="129" t="s">
        <v>64</v>
      </c>
    </row>
    <row r="4" spans="1:12" ht="15.75" x14ac:dyDescent="0.25">
      <c r="A4" s="15"/>
      <c r="B4" s="15"/>
      <c r="C4" s="45"/>
      <c r="D4" s="45"/>
      <c r="E4" s="45"/>
      <c r="F4" s="45"/>
      <c r="G4" s="15"/>
      <c r="H4" s="15"/>
      <c r="I4" s="15"/>
      <c r="J4" s="15"/>
      <c r="K4" s="15"/>
    </row>
    <row r="5" spans="1:12" ht="15.75" x14ac:dyDescent="0.25">
      <c r="A5" s="409" t="str">
        <f>'5. анализ эконом эфф'!A5</f>
        <v>Год раскрытия информации: 2023 год</v>
      </c>
      <c r="B5" s="409"/>
      <c r="C5" s="409"/>
      <c r="D5" s="409"/>
      <c r="E5" s="409"/>
      <c r="F5" s="409"/>
      <c r="G5" s="409"/>
      <c r="H5" s="409"/>
      <c r="I5" s="409"/>
      <c r="J5" s="409"/>
      <c r="K5" s="409"/>
    </row>
    <row r="6" spans="1:12" ht="15.75" x14ac:dyDescent="0.25">
      <c r="A6" s="15"/>
      <c r="B6" s="15"/>
      <c r="C6" s="45"/>
      <c r="D6" s="45"/>
      <c r="E6" s="45"/>
      <c r="F6" s="45"/>
      <c r="G6" s="15"/>
      <c r="H6" s="15"/>
      <c r="I6" s="15"/>
      <c r="J6" s="15"/>
      <c r="K6" s="15"/>
    </row>
    <row r="7" spans="1:12" ht="18.75" x14ac:dyDescent="0.25">
      <c r="A7" s="496" t="s">
        <v>6</v>
      </c>
      <c r="B7" s="496"/>
      <c r="C7" s="496"/>
      <c r="D7" s="496"/>
      <c r="E7" s="496"/>
      <c r="F7" s="496"/>
      <c r="G7" s="496"/>
      <c r="H7" s="496"/>
      <c r="I7" s="496"/>
      <c r="J7" s="496"/>
      <c r="K7" s="496"/>
    </row>
    <row r="8" spans="1:12" ht="18.75" x14ac:dyDescent="0.25">
      <c r="A8" s="496"/>
      <c r="B8" s="496"/>
      <c r="C8" s="496"/>
      <c r="D8" s="496"/>
      <c r="E8" s="496"/>
      <c r="F8" s="496"/>
      <c r="G8" s="496"/>
      <c r="H8" s="496"/>
      <c r="I8" s="496"/>
      <c r="J8" s="496"/>
      <c r="K8" s="496"/>
    </row>
    <row r="9" spans="1:12" ht="15.75" x14ac:dyDescent="0.25">
      <c r="A9" s="497" t="str">
        <f>'5. анализ эконом эфф'!A9</f>
        <v>Акционерное общество "Россети Янтарь"</v>
      </c>
      <c r="B9" s="497"/>
      <c r="C9" s="497"/>
      <c r="D9" s="497"/>
      <c r="E9" s="497"/>
      <c r="F9" s="497"/>
      <c r="G9" s="497"/>
      <c r="H9" s="497"/>
      <c r="I9" s="497"/>
      <c r="J9" s="497"/>
      <c r="K9" s="497"/>
    </row>
    <row r="10" spans="1:12" ht="15.75" x14ac:dyDescent="0.25">
      <c r="A10" s="493" t="s">
        <v>5</v>
      </c>
      <c r="B10" s="493"/>
      <c r="C10" s="493"/>
      <c r="D10" s="493"/>
      <c r="E10" s="493"/>
      <c r="F10" s="493"/>
      <c r="G10" s="493"/>
      <c r="H10" s="493"/>
      <c r="I10" s="493"/>
      <c r="J10" s="493"/>
      <c r="K10" s="493"/>
    </row>
    <row r="11" spans="1:12" ht="18.75" x14ac:dyDescent="0.25">
      <c r="A11" s="496"/>
      <c r="B11" s="496"/>
      <c r="C11" s="496"/>
      <c r="D11" s="496"/>
      <c r="E11" s="496"/>
      <c r="F11" s="496"/>
      <c r="G11" s="496"/>
      <c r="H11" s="496"/>
      <c r="I11" s="496"/>
      <c r="J11" s="496"/>
      <c r="K11" s="496"/>
    </row>
    <row r="12" spans="1:12" ht="15.75" x14ac:dyDescent="0.25">
      <c r="A12" s="497" t="str">
        <f>'5. анализ эконом эфф'!A12</f>
        <v>L_19-1035</v>
      </c>
      <c r="B12" s="497"/>
      <c r="C12" s="497"/>
      <c r="D12" s="497"/>
      <c r="E12" s="497"/>
      <c r="F12" s="497"/>
      <c r="G12" s="497"/>
      <c r="H12" s="497"/>
      <c r="I12" s="497"/>
      <c r="J12" s="497"/>
      <c r="K12" s="497"/>
    </row>
    <row r="13" spans="1:12" ht="15.75" x14ac:dyDescent="0.25">
      <c r="A13" s="493" t="s">
        <v>4</v>
      </c>
      <c r="B13" s="493"/>
      <c r="C13" s="493"/>
      <c r="D13" s="493"/>
      <c r="E13" s="493"/>
      <c r="F13" s="493"/>
      <c r="G13" s="493"/>
      <c r="H13" s="493"/>
      <c r="I13" s="493"/>
      <c r="J13" s="493"/>
      <c r="K13" s="493"/>
    </row>
    <row r="14" spans="1:12" ht="18.75" x14ac:dyDescent="0.25">
      <c r="A14" s="425"/>
      <c r="B14" s="425"/>
      <c r="C14" s="425"/>
      <c r="D14" s="425"/>
      <c r="E14" s="425"/>
      <c r="F14" s="425"/>
      <c r="G14" s="425"/>
      <c r="H14" s="425"/>
      <c r="I14" s="425"/>
      <c r="J14" s="425"/>
      <c r="K14" s="425"/>
    </row>
    <row r="15" spans="1:12" ht="102" customHeight="1" x14ac:dyDescent="0.25">
      <c r="A15" s="494" t="str">
        <f>'5. анализ эконом эфф'!A15</f>
        <v>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494"/>
      <c r="C15" s="494"/>
      <c r="D15" s="494"/>
      <c r="E15" s="494"/>
      <c r="F15" s="494"/>
      <c r="G15" s="494"/>
      <c r="H15" s="494"/>
      <c r="I15" s="494"/>
      <c r="J15" s="494"/>
      <c r="K15" s="494"/>
      <c r="L15" s="494"/>
    </row>
    <row r="16" spans="1:12" ht="15.75" x14ac:dyDescent="0.25">
      <c r="A16" s="493" t="s">
        <v>3</v>
      </c>
      <c r="B16" s="493"/>
      <c r="C16" s="493"/>
      <c r="D16" s="493"/>
      <c r="E16" s="493"/>
      <c r="F16" s="493"/>
      <c r="G16" s="493"/>
      <c r="H16" s="493"/>
      <c r="I16" s="493"/>
      <c r="J16" s="493"/>
      <c r="K16" s="493"/>
    </row>
    <row r="17" spans="1:12" ht="15.75" x14ac:dyDescent="0.25">
      <c r="A17" s="15"/>
      <c r="B17" s="15"/>
      <c r="C17" s="45"/>
      <c r="D17" s="45"/>
      <c r="E17" s="45"/>
      <c r="F17" s="45"/>
      <c r="G17" s="15"/>
      <c r="H17" s="15"/>
      <c r="I17" s="15"/>
      <c r="J17" s="15"/>
      <c r="K17" s="15"/>
    </row>
    <row r="18" spans="1:12" ht="15.75" x14ac:dyDescent="0.25">
      <c r="A18" s="15"/>
      <c r="B18" s="15"/>
      <c r="C18" s="45"/>
      <c r="D18" s="45"/>
      <c r="E18" s="45"/>
      <c r="F18" s="45"/>
      <c r="G18" s="15"/>
      <c r="H18" s="15"/>
      <c r="I18" s="15"/>
      <c r="J18" s="15"/>
      <c r="K18" s="15"/>
    </row>
    <row r="19" spans="1:12" ht="15.75" x14ac:dyDescent="0.25">
      <c r="A19" s="500" t="s">
        <v>347</v>
      </c>
      <c r="B19" s="500"/>
      <c r="C19" s="500"/>
      <c r="D19" s="500"/>
      <c r="E19" s="500"/>
      <c r="F19" s="500"/>
      <c r="G19" s="500"/>
      <c r="H19" s="500"/>
      <c r="I19" s="500"/>
      <c r="J19" s="500"/>
      <c r="K19" s="500"/>
    </row>
    <row r="20" spans="1:12" ht="15.75" x14ac:dyDescent="0.25">
      <c r="A20" s="46"/>
      <c r="K20" s="45"/>
    </row>
    <row r="21" spans="1:12" ht="30" customHeight="1" x14ac:dyDescent="0.25">
      <c r="A21" s="499" t="s">
        <v>191</v>
      </c>
      <c r="B21" s="499" t="s">
        <v>401</v>
      </c>
      <c r="C21" s="501" t="s">
        <v>468</v>
      </c>
      <c r="D21" s="501"/>
      <c r="E21" s="501"/>
      <c r="F21" s="501"/>
      <c r="G21" s="501"/>
      <c r="H21" s="501"/>
      <c r="I21" s="502" t="s">
        <v>190</v>
      </c>
      <c r="J21" s="503" t="s">
        <v>469</v>
      </c>
      <c r="K21" s="506" t="s">
        <v>189</v>
      </c>
      <c r="L21" s="498" t="s">
        <v>532</v>
      </c>
    </row>
    <row r="22" spans="1:12" ht="61.5" customHeight="1" x14ac:dyDescent="0.25">
      <c r="A22" s="499"/>
      <c r="B22" s="499"/>
      <c r="C22" s="507" t="s">
        <v>846</v>
      </c>
      <c r="D22" s="507"/>
      <c r="E22" s="507" t="s">
        <v>8</v>
      </c>
      <c r="F22" s="507"/>
      <c r="G22" s="507" t="s">
        <v>847</v>
      </c>
      <c r="H22" s="507"/>
      <c r="I22" s="502"/>
      <c r="J22" s="504"/>
      <c r="K22" s="506"/>
      <c r="L22" s="498"/>
    </row>
    <row r="23" spans="1:12" ht="31.5" x14ac:dyDescent="0.25">
      <c r="A23" s="499"/>
      <c r="B23" s="499"/>
      <c r="C23" s="209" t="s">
        <v>188</v>
      </c>
      <c r="D23" s="209" t="s">
        <v>187</v>
      </c>
      <c r="E23" s="209" t="s">
        <v>188</v>
      </c>
      <c r="F23" s="209" t="s">
        <v>187</v>
      </c>
      <c r="G23" s="209" t="s">
        <v>188</v>
      </c>
      <c r="H23" s="209" t="s">
        <v>187</v>
      </c>
      <c r="I23" s="502"/>
      <c r="J23" s="505"/>
      <c r="K23" s="506"/>
      <c r="L23" s="498"/>
    </row>
    <row r="24" spans="1:12" ht="15.75" x14ac:dyDescent="0.25">
      <c r="A24" s="210">
        <v>1</v>
      </c>
      <c r="B24" s="210">
        <v>2</v>
      </c>
      <c r="C24" s="209">
        <v>3</v>
      </c>
      <c r="D24" s="209">
        <v>4</v>
      </c>
      <c r="E24" s="209">
        <v>5</v>
      </c>
      <c r="F24" s="209">
        <v>6</v>
      </c>
      <c r="G24" s="209">
        <v>7</v>
      </c>
      <c r="H24" s="209">
        <v>8</v>
      </c>
      <c r="I24" s="211">
        <v>9</v>
      </c>
      <c r="J24" s="211">
        <v>10</v>
      </c>
      <c r="K24" s="211">
        <v>11</v>
      </c>
      <c r="L24" s="211">
        <v>12</v>
      </c>
    </row>
    <row r="25" spans="1:12" ht="15.75" x14ac:dyDescent="0.25">
      <c r="A25" s="377">
        <v>1</v>
      </c>
      <c r="B25" s="378" t="s">
        <v>186</v>
      </c>
      <c r="C25" s="382"/>
      <c r="D25" s="382"/>
      <c r="E25" s="382"/>
      <c r="F25" s="382"/>
      <c r="G25" s="382"/>
      <c r="H25" s="382"/>
      <c r="I25" s="332"/>
      <c r="J25" s="141"/>
      <c r="K25" s="142"/>
      <c r="L25" s="201"/>
    </row>
    <row r="26" spans="1:12" ht="15.75" x14ac:dyDescent="0.25">
      <c r="A26" s="377" t="s">
        <v>470</v>
      </c>
      <c r="B26" s="379" t="s">
        <v>471</v>
      </c>
      <c r="C26" s="383" t="s">
        <v>485</v>
      </c>
      <c r="D26" s="384" t="s">
        <v>485</v>
      </c>
      <c r="E26" s="383" t="s">
        <v>485</v>
      </c>
      <c r="F26" s="383" t="s">
        <v>485</v>
      </c>
      <c r="G26" s="383" t="s">
        <v>485</v>
      </c>
      <c r="H26" s="384" t="s">
        <v>485</v>
      </c>
      <c r="I26" s="375"/>
      <c r="J26" s="141"/>
      <c r="K26" s="142"/>
      <c r="L26" s="201"/>
    </row>
    <row r="27" spans="1:12" ht="31.5" x14ac:dyDescent="0.25">
      <c r="A27" s="377" t="s">
        <v>472</v>
      </c>
      <c r="B27" s="379" t="s">
        <v>473</v>
      </c>
      <c r="C27" s="383" t="s">
        <v>485</v>
      </c>
      <c r="D27" s="384" t="s">
        <v>485</v>
      </c>
      <c r="E27" s="383" t="s">
        <v>485</v>
      </c>
      <c r="F27" s="383" t="s">
        <v>485</v>
      </c>
      <c r="G27" s="383" t="s">
        <v>485</v>
      </c>
      <c r="H27" s="384" t="s">
        <v>485</v>
      </c>
      <c r="I27" s="375"/>
      <c r="J27" s="141"/>
      <c r="K27" s="142"/>
      <c r="L27" s="201"/>
    </row>
    <row r="28" spans="1:12" ht="47.25" x14ac:dyDescent="0.25">
      <c r="A28" s="377" t="s">
        <v>841</v>
      </c>
      <c r="B28" s="379" t="s">
        <v>474</v>
      </c>
      <c r="C28" s="383" t="s">
        <v>485</v>
      </c>
      <c r="D28" s="384" t="s">
        <v>485</v>
      </c>
      <c r="E28" s="383" t="s">
        <v>485</v>
      </c>
      <c r="F28" s="383" t="s">
        <v>485</v>
      </c>
      <c r="G28" s="383" t="s">
        <v>485</v>
      </c>
      <c r="H28" s="384" t="s">
        <v>485</v>
      </c>
      <c r="I28" s="375"/>
      <c r="J28" s="141"/>
      <c r="K28" s="142"/>
      <c r="L28" s="201"/>
    </row>
    <row r="29" spans="1:12" ht="31.5" x14ac:dyDescent="0.25">
      <c r="A29" s="377" t="s">
        <v>475</v>
      </c>
      <c r="B29" s="379" t="s">
        <v>476</v>
      </c>
      <c r="C29" s="383" t="s">
        <v>485</v>
      </c>
      <c r="D29" s="384" t="s">
        <v>485</v>
      </c>
      <c r="E29" s="383" t="s">
        <v>485</v>
      </c>
      <c r="F29" s="383" t="s">
        <v>485</v>
      </c>
      <c r="G29" s="383" t="s">
        <v>485</v>
      </c>
      <c r="H29" s="384" t="s">
        <v>485</v>
      </c>
      <c r="I29" s="375"/>
      <c r="J29" s="141"/>
      <c r="K29" s="142"/>
      <c r="L29" s="201"/>
    </row>
    <row r="30" spans="1:12" ht="31.5" x14ac:dyDescent="0.25">
      <c r="A30" s="377" t="s">
        <v>477</v>
      </c>
      <c r="B30" s="379" t="s">
        <v>478</v>
      </c>
      <c r="C30" s="383" t="s">
        <v>485</v>
      </c>
      <c r="D30" s="384" t="s">
        <v>485</v>
      </c>
      <c r="E30" s="383" t="s">
        <v>485</v>
      </c>
      <c r="F30" s="383" t="s">
        <v>485</v>
      </c>
      <c r="G30" s="383" t="s">
        <v>485</v>
      </c>
      <c r="H30" s="384" t="s">
        <v>485</v>
      </c>
      <c r="I30" s="375"/>
      <c r="J30" s="141"/>
      <c r="K30" s="142"/>
      <c r="L30" s="201"/>
    </row>
    <row r="31" spans="1:12" ht="31.5" x14ac:dyDescent="0.25">
      <c r="A31" s="377" t="s">
        <v>479</v>
      </c>
      <c r="B31" s="380" t="s">
        <v>842</v>
      </c>
      <c r="C31" s="383">
        <v>44803</v>
      </c>
      <c r="D31" s="384">
        <v>44803</v>
      </c>
      <c r="E31" s="383">
        <v>43971</v>
      </c>
      <c r="F31" s="383">
        <v>43971</v>
      </c>
      <c r="G31" s="383">
        <v>44803</v>
      </c>
      <c r="H31" s="384">
        <v>44803</v>
      </c>
      <c r="I31" s="375">
        <v>1</v>
      </c>
      <c r="J31" s="141"/>
      <c r="K31" s="142"/>
      <c r="L31" s="201"/>
    </row>
    <row r="32" spans="1:12" ht="31.5" x14ac:dyDescent="0.25">
      <c r="A32" s="377" t="s">
        <v>480</v>
      </c>
      <c r="B32" s="380" t="s">
        <v>843</v>
      </c>
      <c r="C32" s="383" t="s">
        <v>861</v>
      </c>
      <c r="D32" s="382" t="s">
        <v>861</v>
      </c>
      <c r="E32" s="383">
        <v>44277</v>
      </c>
      <c r="F32" s="383">
        <v>44277</v>
      </c>
      <c r="G32" s="383" t="s">
        <v>861</v>
      </c>
      <c r="H32" s="382" t="s">
        <v>861</v>
      </c>
      <c r="I32" s="375">
        <v>1</v>
      </c>
      <c r="J32" s="141"/>
      <c r="K32" s="142"/>
      <c r="L32" s="201"/>
    </row>
    <row r="33" spans="1:12" ht="47.25" x14ac:dyDescent="0.25">
      <c r="A33" s="377" t="s">
        <v>481</v>
      </c>
      <c r="B33" s="380" t="s">
        <v>482</v>
      </c>
      <c r="C33" s="383">
        <v>45015</v>
      </c>
      <c r="D33" s="382">
        <v>45015</v>
      </c>
      <c r="E33" s="383">
        <v>44599</v>
      </c>
      <c r="F33" s="382">
        <v>44599</v>
      </c>
      <c r="G33" s="383">
        <v>45015</v>
      </c>
      <c r="H33" s="382">
        <v>45015</v>
      </c>
      <c r="I33" s="375">
        <v>1</v>
      </c>
      <c r="J33" s="141"/>
      <c r="K33" s="142"/>
      <c r="L33" s="201"/>
    </row>
    <row r="34" spans="1:12" ht="63" x14ac:dyDescent="0.25">
      <c r="A34" s="377" t="s">
        <v>483</v>
      </c>
      <c r="B34" s="380" t="s">
        <v>484</v>
      </c>
      <c r="C34" s="383" t="s">
        <v>485</v>
      </c>
      <c r="D34" s="384" t="s">
        <v>485</v>
      </c>
      <c r="E34" s="383" t="s">
        <v>485</v>
      </c>
      <c r="F34" s="383" t="s">
        <v>485</v>
      </c>
      <c r="G34" s="383" t="s">
        <v>485</v>
      </c>
      <c r="H34" s="384" t="s">
        <v>485</v>
      </c>
      <c r="I34" s="375"/>
      <c r="J34" s="143"/>
      <c r="K34" s="143"/>
      <c r="L34" s="201"/>
    </row>
    <row r="35" spans="1:12" ht="35.25" customHeight="1" x14ac:dyDescent="0.25">
      <c r="A35" s="377" t="s">
        <v>486</v>
      </c>
      <c r="B35" s="380" t="s">
        <v>681</v>
      </c>
      <c r="C35" s="383">
        <v>45036</v>
      </c>
      <c r="D35" s="382">
        <v>45036</v>
      </c>
      <c r="E35" s="384">
        <v>44610</v>
      </c>
      <c r="F35" s="384">
        <v>44610</v>
      </c>
      <c r="G35" s="383">
        <v>45036</v>
      </c>
      <c r="H35" s="382">
        <v>45036</v>
      </c>
      <c r="I35" s="375">
        <v>1</v>
      </c>
      <c r="J35" s="143"/>
      <c r="K35" s="143"/>
      <c r="L35" s="201"/>
    </row>
    <row r="36" spans="1:12" ht="31.5" x14ac:dyDescent="0.25">
      <c r="A36" s="377" t="s">
        <v>487</v>
      </c>
      <c r="B36" s="380" t="s">
        <v>488</v>
      </c>
      <c r="C36" s="383" t="s">
        <v>485</v>
      </c>
      <c r="D36" s="384" t="s">
        <v>485</v>
      </c>
      <c r="E36" s="383" t="s">
        <v>485</v>
      </c>
      <c r="F36" s="383" t="s">
        <v>485</v>
      </c>
      <c r="G36" s="383" t="s">
        <v>485</v>
      </c>
      <c r="H36" s="384" t="s">
        <v>485</v>
      </c>
      <c r="I36" s="375"/>
      <c r="J36" s="144"/>
      <c r="K36" s="142"/>
      <c r="L36" s="201"/>
    </row>
    <row r="37" spans="1:12" ht="15.75" x14ac:dyDescent="0.25">
      <c r="A37" s="377" t="s">
        <v>489</v>
      </c>
      <c r="B37" s="380" t="s">
        <v>185</v>
      </c>
      <c r="C37" s="383">
        <v>45066</v>
      </c>
      <c r="D37" s="382">
        <v>45066</v>
      </c>
      <c r="E37" s="384">
        <v>44216</v>
      </c>
      <c r="F37" s="384">
        <v>44216</v>
      </c>
      <c r="G37" s="383">
        <v>45066</v>
      </c>
      <c r="H37" s="382">
        <v>45066</v>
      </c>
      <c r="I37" s="375">
        <v>1</v>
      </c>
      <c r="J37" s="144"/>
      <c r="K37" s="142"/>
      <c r="L37" s="201"/>
    </row>
    <row r="38" spans="1:12" ht="15.75" x14ac:dyDescent="0.25">
      <c r="A38" s="377" t="s">
        <v>490</v>
      </c>
      <c r="B38" s="378" t="s">
        <v>184</v>
      </c>
      <c r="C38" s="383"/>
      <c r="D38" s="384"/>
      <c r="E38" s="333"/>
      <c r="F38" s="333"/>
      <c r="G38" s="383"/>
      <c r="H38" s="384"/>
      <c r="I38" s="375"/>
      <c r="J38" s="142"/>
      <c r="K38" s="142"/>
      <c r="L38" s="201"/>
    </row>
    <row r="39" spans="1:12" ht="63" x14ac:dyDescent="0.25">
      <c r="A39" s="377">
        <v>2</v>
      </c>
      <c r="B39" s="380" t="s">
        <v>491</v>
      </c>
      <c r="C39" s="383">
        <v>45076</v>
      </c>
      <c r="D39" s="384">
        <v>45076</v>
      </c>
      <c r="E39" s="333"/>
      <c r="F39" s="333"/>
      <c r="G39" s="383">
        <v>45076</v>
      </c>
      <c r="H39" s="384">
        <v>45076</v>
      </c>
      <c r="I39" s="375"/>
      <c r="J39" s="142"/>
      <c r="K39" s="142"/>
      <c r="L39" s="201"/>
    </row>
    <row r="40" spans="1:12" ht="31.5" x14ac:dyDescent="0.25">
      <c r="A40" s="377" t="s">
        <v>492</v>
      </c>
      <c r="B40" s="380" t="s">
        <v>493</v>
      </c>
      <c r="C40" s="383" t="s">
        <v>862</v>
      </c>
      <c r="D40" s="384" t="s">
        <v>863</v>
      </c>
      <c r="E40" s="333"/>
      <c r="F40" s="333"/>
      <c r="G40" s="383" t="s">
        <v>862</v>
      </c>
      <c r="H40" s="384" t="s">
        <v>863</v>
      </c>
      <c r="I40" s="375"/>
      <c r="J40" s="142"/>
      <c r="K40" s="142"/>
      <c r="L40" s="201"/>
    </row>
    <row r="41" spans="1:12" ht="47.25" x14ac:dyDescent="0.25">
      <c r="A41" s="377" t="s">
        <v>494</v>
      </c>
      <c r="B41" s="378" t="s">
        <v>495</v>
      </c>
      <c r="C41" s="383"/>
      <c r="D41" s="384"/>
      <c r="E41" s="333"/>
      <c r="F41" s="333"/>
      <c r="G41" s="383"/>
      <c r="H41" s="384"/>
      <c r="I41" s="375"/>
      <c r="J41" s="142"/>
      <c r="K41" s="142"/>
      <c r="L41" s="201"/>
    </row>
    <row r="42" spans="1:12" ht="31.5" x14ac:dyDescent="0.25">
      <c r="A42" s="377">
        <v>3</v>
      </c>
      <c r="B42" s="380" t="s">
        <v>496</v>
      </c>
      <c r="C42" s="383" t="s">
        <v>864</v>
      </c>
      <c r="D42" s="384" t="s">
        <v>865</v>
      </c>
      <c r="E42" s="333"/>
      <c r="F42" s="333"/>
      <c r="G42" s="383" t="s">
        <v>864</v>
      </c>
      <c r="H42" s="384" t="s">
        <v>865</v>
      </c>
      <c r="I42" s="375"/>
      <c r="J42" s="142"/>
      <c r="K42" s="142"/>
      <c r="L42" s="201"/>
    </row>
    <row r="43" spans="1:12" ht="31.5" x14ac:dyDescent="0.25">
      <c r="A43" s="377" t="s">
        <v>497</v>
      </c>
      <c r="B43" s="380" t="s">
        <v>183</v>
      </c>
      <c r="C43" s="383" t="s">
        <v>866</v>
      </c>
      <c r="D43" s="384" t="s">
        <v>867</v>
      </c>
      <c r="E43" s="333"/>
      <c r="F43" s="333"/>
      <c r="G43" s="383" t="s">
        <v>866</v>
      </c>
      <c r="H43" s="384" t="s">
        <v>867</v>
      </c>
      <c r="I43" s="375"/>
      <c r="J43" s="142"/>
      <c r="K43" s="142"/>
      <c r="L43" s="201"/>
    </row>
    <row r="44" spans="1:12" ht="31.5" x14ac:dyDescent="0.25">
      <c r="A44" s="377" t="s">
        <v>498</v>
      </c>
      <c r="B44" s="380" t="s">
        <v>499</v>
      </c>
      <c r="C44" s="383" t="s">
        <v>868</v>
      </c>
      <c r="D44" s="384" t="s">
        <v>869</v>
      </c>
      <c r="E44" s="333"/>
      <c r="F44" s="333"/>
      <c r="G44" s="383" t="s">
        <v>868</v>
      </c>
      <c r="H44" s="384" t="s">
        <v>869</v>
      </c>
      <c r="I44" s="376"/>
      <c r="J44" s="142"/>
      <c r="K44" s="142"/>
      <c r="L44" s="201"/>
    </row>
    <row r="45" spans="1:12" ht="78.75" x14ac:dyDescent="0.25">
      <c r="A45" s="377" t="s">
        <v>500</v>
      </c>
      <c r="B45" s="380" t="s">
        <v>501</v>
      </c>
      <c r="C45" s="383" t="s">
        <v>485</v>
      </c>
      <c r="D45" s="384" t="s">
        <v>485</v>
      </c>
      <c r="E45" s="333"/>
      <c r="F45" s="333"/>
      <c r="G45" s="383" t="s">
        <v>485</v>
      </c>
      <c r="H45" s="384" t="s">
        <v>485</v>
      </c>
      <c r="I45" s="375"/>
      <c r="J45" s="142"/>
      <c r="K45" s="142"/>
      <c r="L45" s="201"/>
    </row>
    <row r="46" spans="1:12" ht="141.75" x14ac:dyDescent="0.25">
      <c r="A46" s="377" t="s">
        <v>502</v>
      </c>
      <c r="B46" s="380" t="s">
        <v>503</v>
      </c>
      <c r="C46" s="384" t="s">
        <v>485</v>
      </c>
      <c r="D46" s="384" t="s">
        <v>485</v>
      </c>
      <c r="E46" s="333"/>
      <c r="F46" s="333"/>
      <c r="G46" s="384" t="s">
        <v>485</v>
      </c>
      <c r="H46" s="384" t="s">
        <v>485</v>
      </c>
      <c r="I46" s="375"/>
      <c r="J46" s="142"/>
      <c r="K46" s="142"/>
      <c r="L46" s="201"/>
    </row>
    <row r="47" spans="1:12" ht="31.5" x14ac:dyDescent="0.25">
      <c r="A47" s="377" t="s">
        <v>504</v>
      </c>
      <c r="B47" s="380" t="s">
        <v>505</v>
      </c>
      <c r="C47" s="383" t="s">
        <v>870</v>
      </c>
      <c r="D47" s="384" t="s">
        <v>871</v>
      </c>
      <c r="E47" s="333"/>
      <c r="F47" s="333"/>
      <c r="G47" s="383" t="s">
        <v>870</v>
      </c>
      <c r="H47" s="384" t="s">
        <v>871</v>
      </c>
      <c r="I47" s="376"/>
      <c r="J47" s="142"/>
      <c r="K47" s="142"/>
      <c r="L47" s="201"/>
    </row>
    <row r="48" spans="1:12" ht="15.75" x14ac:dyDescent="0.25">
      <c r="A48" s="377" t="s">
        <v>844</v>
      </c>
      <c r="B48" s="378" t="s">
        <v>182</v>
      </c>
      <c r="C48" s="408"/>
      <c r="D48" s="384"/>
      <c r="E48" s="333"/>
      <c r="F48" s="333"/>
      <c r="G48" s="408"/>
      <c r="H48" s="384"/>
      <c r="I48" s="375"/>
      <c r="J48" s="142"/>
      <c r="K48" s="142"/>
      <c r="L48" s="201"/>
    </row>
    <row r="49" spans="1:12" ht="31.5" x14ac:dyDescent="0.25">
      <c r="A49" s="377">
        <v>4</v>
      </c>
      <c r="B49" s="380" t="s">
        <v>181</v>
      </c>
      <c r="C49" s="383" t="s">
        <v>872</v>
      </c>
      <c r="D49" s="384" t="s">
        <v>873</v>
      </c>
      <c r="E49" s="333"/>
      <c r="F49" s="333"/>
      <c r="G49" s="383" t="s">
        <v>872</v>
      </c>
      <c r="H49" s="384" t="s">
        <v>873</v>
      </c>
      <c r="I49" s="376"/>
      <c r="J49" s="142"/>
      <c r="K49" s="142"/>
      <c r="L49" s="201"/>
    </row>
    <row r="50" spans="1:12" ht="78.75" x14ac:dyDescent="0.25">
      <c r="A50" s="377" t="s">
        <v>845</v>
      </c>
      <c r="B50" s="380" t="s">
        <v>506</v>
      </c>
      <c r="C50" s="383" t="s">
        <v>874</v>
      </c>
      <c r="D50" s="384" t="s">
        <v>874</v>
      </c>
      <c r="E50" s="333"/>
      <c r="F50" s="333"/>
      <c r="G50" s="383" t="s">
        <v>874</v>
      </c>
      <c r="H50" s="384" t="s">
        <v>874</v>
      </c>
      <c r="I50" s="376"/>
      <c r="J50" s="142"/>
      <c r="K50" s="142"/>
      <c r="L50" s="201"/>
    </row>
    <row r="51" spans="1:12" ht="63" x14ac:dyDescent="0.25">
      <c r="A51" s="377" t="s">
        <v>507</v>
      </c>
      <c r="B51" s="380" t="s">
        <v>508</v>
      </c>
      <c r="C51" s="383" t="s">
        <v>485</v>
      </c>
      <c r="D51" s="384" t="s">
        <v>485</v>
      </c>
      <c r="E51" s="333"/>
      <c r="F51" s="333"/>
      <c r="G51" s="383" t="s">
        <v>485</v>
      </c>
      <c r="H51" s="384" t="s">
        <v>485</v>
      </c>
      <c r="I51" s="376"/>
      <c r="J51" s="142"/>
      <c r="K51" s="142"/>
      <c r="L51" s="201"/>
    </row>
    <row r="52" spans="1:12" ht="63" x14ac:dyDescent="0.25">
      <c r="A52" s="377" t="s">
        <v>509</v>
      </c>
      <c r="B52" s="380" t="s">
        <v>510</v>
      </c>
      <c r="C52" s="383" t="s">
        <v>485</v>
      </c>
      <c r="D52" s="384" t="s">
        <v>485</v>
      </c>
      <c r="E52" s="333"/>
      <c r="F52" s="333"/>
      <c r="G52" s="383" t="s">
        <v>485</v>
      </c>
      <c r="H52" s="384" t="s">
        <v>485</v>
      </c>
      <c r="I52" s="375"/>
      <c r="J52" s="142"/>
      <c r="K52" s="142"/>
      <c r="L52" s="201"/>
    </row>
    <row r="53" spans="1:12" ht="31.5" x14ac:dyDescent="0.25">
      <c r="A53" s="377" t="s">
        <v>511</v>
      </c>
      <c r="B53" s="381" t="s">
        <v>512</v>
      </c>
      <c r="C53" s="383" t="s">
        <v>875</v>
      </c>
      <c r="D53" s="384" t="s">
        <v>875</v>
      </c>
      <c r="E53" s="333"/>
      <c r="F53" s="333"/>
      <c r="G53" s="383" t="s">
        <v>875</v>
      </c>
      <c r="H53" s="384" t="s">
        <v>875</v>
      </c>
      <c r="I53" s="376"/>
      <c r="J53" s="142"/>
      <c r="K53" s="142"/>
      <c r="L53" s="201"/>
    </row>
    <row r="54" spans="1:12" ht="31.5" x14ac:dyDescent="0.25">
      <c r="A54" s="377" t="s">
        <v>513</v>
      </c>
      <c r="B54" s="380" t="s">
        <v>514</v>
      </c>
      <c r="C54" s="383" t="s">
        <v>485</v>
      </c>
      <c r="D54" s="384" t="s">
        <v>485</v>
      </c>
      <c r="E54" s="333" t="s">
        <v>485</v>
      </c>
      <c r="F54" s="333" t="s">
        <v>485</v>
      </c>
      <c r="G54" s="383" t="s">
        <v>485</v>
      </c>
      <c r="H54" s="384" t="s">
        <v>485</v>
      </c>
      <c r="I54" s="376"/>
      <c r="J54" s="142"/>
      <c r="K54" s="142"/>
      <c r="L54" s="201"/>
    </row>
  </sheetData>
  <mergeCells count="22">
    <mergeCell ref="A15:L15"/>
    <mergeCell ref="L21:L23"/>
    <mergeCell ref="A13:K13"/>
    <mergeCell ref="A16:K16"/>
    <mergeCell ref="A21:A23"/>
    <mergeCell ref="B21:B23"/>
    <mergeCell ref="A14:K14"/>
    <mergeCell ref="A19:K19"/>
    <mergeCell ref="C21:H21"/>
    <mergeCell ref="I21:I23"/>
    <mergeCell ref="J21:J23"/>
    <mergeCell ref="K21:K23"/>
    <mergeCell ref="C22:D22"/>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2017-04-10T08:27:33Z</cp:lastPrinted>
  <dcterms:created xsi:type="dcterms:W3CDTF">2015-08-16T15:31:05Z</dcterms:created>
  <dcterms:modified xsi:type="dcterms:W3CDTF">2023-04-28T09:52:31Z</dcterms:modified>
</cp:coreProperties>
</file>